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930" windowWidth="12075" windowHeight="6390" firstSheet="51" activeTab="57"/>
  </bookViews>
  <sheets>
    <sheet name="Сосновка, Новая 8" sheetId="1" r:id="rId1"/>
    <sheet name="Сосновка, Новая 7" sheetId="2" r:id="rId2"/>
    <sheet name="Сосновка, Новая 6" sheetId="3" r:id="rId3"/>
    <sheet name="Сосновка, Новая 5" sheetId="4" r:id="rId4"/>
    <sheet name="Сосновка, Новая 16" sheetId="5" r:id="rId5"/>
    <sheet name="Сосновка, Новая 14" sheetId="6" r:id="rId6"/>
    <sheet name="Сосновка, Новая 13" sheetId="7" r:id="rId7"/>
    <sheet name="Сосновка, Новая 12" sheetId="8" r:id="rId8"/>
    <sheet name="Сосновка, Новая 11" sheetId="9" r:id="rId9"/>
    <sheet name="Сосновка, Новая 10" sheetId="10" r:id="rId10"/>
    <sheet name="Покровка, Таежная 1" sheetId="11" r:id="rId11"/>
    <sheet name="Покровка, Новая 20" sheetId="12" r:id="rId12"/>
    <sheet name="Покровка, Новая 18" sheetId="13" r:id="rId13"/>
    <sheet name="Покровка, Новая 13" sheetId="14" r:id="rId14"/>
    <sheet name="Покровка, Новая 12А" sheetId="15" r:id="rId15"/>
    <sheet name="Покровка, Новая 12" sheetId="16" r:id="rId16"/>
    <sheet name="Покровка, Новая 9" sheetId="17" r:id="rId17"/>
    <sheet name="Покровка, Новая 7" sheetId="18" r:id="rId18"/>
    <sheet name="Покровка, Березовая 16" sheetId="19" r:id="rId19"/>
    <sheet name="Покровка, Березовая 14" sheetId="20" r:id="rId20"/>
    <sheet name="Покровка, Березовая 12" sheetId="21" r:id="rId21"/>
    <sheet name="Покровка, Березовая 8" sheetId="22" r:id="rId22"/>
    <sheet name="Покровка, Березовая 7" sheetId="23" r:id="rId23"/>
    <sheet name="Покровка, Березовая 5" sheetId="24" r:id="rId24"/>
    <sheet name="Покровка, Березовая 4" sheetId="25" r:id="rId25"/>
    <sheet name="Покровка, Березовая 3" sheetId="26" r:id="rId26"/>
    <sheet name="Покровка, Березовая 2" sheetId="27" r:id="rId27"/>
    <sheet name="Покровка, Березовая 1" sheetId="28" r:id="rId28"/>
    <sheet name="Владивостокская 10" sheetId="29" r:id="rId29"/>
    <sheet name="Владивостокская 14" sheetId="30" r:id="rId30"/>
    <sheet name="Комсомольская, 36в" sheetId="31" r:id="rId31"/>
    <sheet name="Комсомольская, 36б" sheetId="32" r:id="rId32"/>
    <sheet name="Ленина, 19" sheetId="33" r:id="rId33"/>
    <sheet name="Ленина, 17" sheetId="34" r:id="rId34"/>
    <sheet name="Севостьянова, 6а" sheetId="35" r:id="rId35"/>
    <sheet name="Ленина, 23" sheetId="36" r:id="rId36"/>
    <sheet name="Ленина, 21" sheetId="37" r:id="rId37"/>
    <sheet name="Ленина, 16" sheetId="38" r:id="rId38"/>
    <sheet name="Победа, 30" sheetId="39" r:id="rId39"/>
    <sheet name="Владивостокская, 28а" sheetId="40" r:id="rId40"/>
    <sheet name="Владивостокская, 28" sheetId="41" r:id="rId41"/>
    <sheet name="Владивостокская, 26" sheetId="42" r:id="rId42"/>
    <sheet name="Ленина, 25" sheetId="43" r:id="rId43"/>
    <sheet name="Ленина, 28" sheetId="44" r:id="rId44"/>
    <sheet name="Ленина, 34" sheetId="45" r:id="rId45"/>
    <sheet name="Пионерская, 10" sheetId="46" r:id="rId46"/>
    <sheet name="Пионерская, 12" sheetId="47" r:id="rId47"/>
    <sheet name="Победы, 17" sheetId="48" r:id="rId48"/>
    <sheet name="Победы, 19" sheetId="49" r:id="rId49"/>
    <sheet name="Парковая, 3Б" sheetId="50" r:id="rId50"/>
    <sheet name="Вилкова 2" sheetId="51" r:id="rId51"/>
    <sheet name="Вилкова 4" sheetId="52" r:id="rId52"/>
    <sheet name="Вилкова 6" sheetId="53" r:id="rId53"/>
    <sheet name="Вилкова 6А" sheetId="54" r:id="rId54"/>
    <sheet name="Вилкова 6Б" sheetId="55" r:id="rId55"/>
    <sheet name="Вилкова 8" sheetId="56" r:id="rId56"/>
    <sheet name="Вилкова 10" sheetId="57" r:id="rId57"/>
    <sheet name="Вилкова 12" sheetId="58" r:id="rId58"/>
  </sheets>
  <definedNames/>
  <calcPr fullCalcOnLoad="1"/>
</workbook>
</file>

<file path=xl/sharedStrings.xml><?xml version="1.0" encoding="utf-8"?>
<sst xmlns="http://schemas.openxmlformats.org/spreadsheetml/2006/main" count="2744" uniqueCount="160">
  <si>
    <t>Начислено</t>
  </si>
  <si>
    <t>Услуга</t>
  </si>
  <si>
    <t xml:space="preserve">Задолженность </t>
  </si>
  <si>
    <t>собственников</t>
  </si>
  <si>
    <t>перед УК на</t>
  </si>
  <si>
    <t>Собрано</t>
  </si>
  <si>
    <t>Годовой отчет ООО "ЭкоДолинск" о выполнении договора</t>
  </si>
  <si>
    <t>управления многоквартирного дома по адресу:</t>
  </si>
  <si>
    <t xml:space="preserve">Техническое </t>
  </si>
  <si>
    <t>обслуживание</t>
  </si>
  <si>
    <t>Наименование</t>
  </si>
  <si>
    <t>Сумма</t>
  </si>
  <si>
    <t>Плановые доходы (Начислено), в т.ч.:</t>
  </si>
  <si>
    <t>Техническое обслуживание</t>
  </si>
  <si>
    <t>Расходы, в т.ч.</t>
  </si>
  <si>
    <t>1. Бдагоустройство и обеспечение санитарного состояния мест</t>
  </si>
  <si>
    <t xml:space="preserve"> общего пользования и придомовой территории</t>
  </si>
  <si>
    <t>Уборка придомовой территории</t>
  </si>
  <si>
    <t>Заработная плата и отчисления</t>
  </si>
  <si>
    <t>Налоги</t>
  </si>
  <si>
    <t>Расходные материалы для уборки, инвентарь</t>
  </si>
  <si>
    <t>Содержание и уборка лестничных клеток</t>
  </si>
  <si>
    <t>Комсомольская, 36В</t>
  </si>
  <si>
    <t>Площадь дома - 1400 м2</t>
  </si>
  <si>
    <t>Площадь дома - 1401,1 м2</t>
  </si>
  <si>
    <t>Площадь дома - 1390,8 м2</t>
  </si>
  <si>
    <t>Площадь дома - 1390,7 м2</t>
  </si>
  <si>
    <t>Площадь дома - 2544,4 м2</t>
  </si>
  <si>
    <t>Площадь дома - 2648 м2</t>
  </si>
  <si>
    <t>Площадь дома - 1645,24 м2</t>
  </si>
  <si>
    <t>Площадь дома - 2557,2 м2</t>
  </si>
  <si>
    <t>Площадь дома - 2555,8 м2</t>
  </si>
  <si>
    <t>Площадь дома - 4237,2 м2</t>
  </si>
  <si>
    <t>Дератизация</t>
  </si>
  <si>
    <t>Услуги паспортного стола</t>
  </si>
  <si>
    <t>Расходы по домовому хозяйству</t>
  </si>
  <si>
    <t>Покупка электролампочек</t>
  </si>
  <si>
    <t>Очистка кровли от наледи</t>
  </si>
  <si>
    <t>Текущее обслуживание и ремонт общих коммуникаций, технических устройств</t>
  </si>
  <si>
    <t>Диспетчерское обслуживание</t>
  </si>
  <si>
    <t>Материалы (спецодежда)</t>
  </si>
  <si>
    <t>М2</t>
  </si>
  <si>
    <t>Чистка подвала и чердака</t>
  </si>
  <si>
    <t>Покупка электролампочек, дежурное освещение</t>
  </si>
  <si>
    <t xml:space="preserve">Накладные расходы </t>
  </si>
  <si>
    <t>(услуги связи, выдача справок, лицевых счетов, квитанций, заправка катриджа, бумага, разноска квитанций и пр.)</t>
  </si>
  <si>
    <t>г. Долинск, ул.Владивостокская, д.26</t>
  </si>
  <si>
    <t>г.Долинск, ул.Владивостокская, д. 28</t>
  </si>
  <si>
    <t>г.Долинск, ул.Владивостокская, д.28а</t>
  </si>
  <si>
    <t>г.Долинск, проспект Победы, д.30</t>
  </si>
  <si>
    <t>г.Долинск, ул.Ленина, д.16</t>
  </si>
  <si>
    <t>г.Долинск, ул.Ленина, д.21</t>
  </si>
  <si>
    <t>г.Долинск, ул.Ленина, д.23</t>
  </si>
  <si>
    <t>г.Долинск, ул.Севостьянова, д.6А</t>
  </si>
  <si>
    <t>г.Долинск, ул.Ленина, д.17</t>
  </si>
  <si>
    <t>г.Долинск, ул.Ленина, д.19</t>
  </si>
  <si>
    <t xml:space="preserve">Площадь жилых помещений - </t>
  </si>
  <si>
    <t>м2</t>
  </si>
  <si>
    <t>Площадь жилых помещений -</t>
  </si>
  <si>
    <t>Механизированная расчистка дворовой территории от снега</t>
  </si>
  <si>
    <t>Владивостокская, 10</t>
  </si>
  <si>
    <t>Площадь дома - 2800.4 м2</t>
  </si>
  <si>
    <t>(услуги связи, выдача справок, лицевых счетов, квитанций, заправка катриджа, бумага, разноска квитанций, проведение претензионно-исковой работы, и пр.)</t>
  </si>
  <si>
    <t>Покровка, Березовая, 1</t>
  </si>
  <si>
    <t>Площадь дома - 1132.9 м2</t>
  </si>
  <si>
    <t>Площадь дома - 1138.1 м2</t>
  </si>
  <si>
    <t>Покровка, Березовая, 2</t>
  </si>
  <si>
    <t>Покровка, Березовая, 3</t>
  </si>
  <si>
    <t>Площадь дома - 1143 м2</t>
  </si>
  <si>
    <t>Покровка, Березовая, 4</t>
  </si>
  <si>
    <t>Площадь дома - 704 м2</t>
  </si>
  <si>
    <t>Покровка, Березовая, 5</t>
  </si>
  <si>
    <t>Площадь дома - 1151.6 м2</t>
  </si>
  <si>
    <t>Покровка, Березовая, 7</t>
  </si>
  <si>
    <t>Площадь дома - 1067.9 м2</t>
  </si>
  <si>
    <t>Покровка, Березовая, 8</t>
  </si>
  <si>
    <t>Площадь дома - 1149.2м2</t>
  </si>
  <si>
    <t>Покровка, Березовая, 12</t>
  </si>
  <si>
    <t>Площадь дома - 981.1 м2</t>
  </si>
  <si>
    <t>Покровка, Березовая, 14</t>
  </si>
  <si>
    <t>Площадь дома - 962.9 м2</t>
  </si>
  <si>
    <t>Покровка, Березовая, 16</t>
  </si>
  <si>
    <t>Площадь дома - 1055.4 м2</t>
  </si>
  <si>
    <t>Покровка, Новая, 7</t>
  </si>
  <si>
    <t>Площадь дома - 1153.4 м2</t>
  </si>
  <si>
    <t>Покровка, Новая, 9</t>
  </si>
  <si>
    <t>Площадь дома - 1188.3 м2</t>
  </si>
  <si>
    <t>Покровка, Новая, 12</t>
  </si>
  <si>
    <t>Площадь дома - 768.5 м2</t>
  </si>
  <si>
    <t>Покровка, Новая, 13</t>
  </si>
  <si>
    <t>Площадь дома - 643.7 м2</t>
  </si>
  <si>
    <t>Покровка, Новая, 18</t>
  </si>
  <si>
    <t>Площадь дома - 1136.9 м2</t>
  </si>
  <si>
    <t>Покровка, Новая, 20</t>
  </si>
  <si>
    <t>Площадь дома - 1073.2 м2</t>
  </si>
  <si>
    <t>Покровка, Таежная, 1</t>
  </si>
  <si>
    <t>Площадь дома - 1140.3 м2</t>
  </si>
  <si>
    <t>Сосновка, Новая, 10</t>
  </si>
  <si>
    <t>Площадь дома - 1253.2 м2</t>
  </si>
  <si>
    <t>Расчистка от снега над подъездных козырьков</t>
  </si>
  <si>
    <t>Уборка чердачного, подвального помещения</t>
  </si>
  <si>
    <t>Сосновка, Новая, 11</t>
  </si>
  <si>
    <t>Площадь дома - 1087.5 м2</t>
  </si>
  <si>
    <t>Сосновка, Новая, 12</t>
  </si>
  <si>
    <t>Площадь дома - 695.4 м2</t>
  </si>
  <si>
    <t>Сосновка, Новая, 13</t>
  </si>
  <si>
    <t>Площадь дома - 697 м2</t>
  </si>
  <si>
    <t>Сосновка, Новая, 14</t>
  </si>
  <si>
    <t>Площадь дома - 1069.8 м2</t>
  </si>
  <si>
    <t>Сосновка, Новая, 16</t>
  </si>
  <si>
    <t>Площадь дома - 690.8 м2</t>
  </si>
  <si>
    <t>Сосновка, Новая, 5</t>
  </si>
  <si>
    <t>Площадь дома - 1045.4 м2</t>
  </si>
  <si>
    <t>Сосновка, Новая, 6</t>
  </si>
  <si>
    <t>Площадь дома - 768.2 м2</t>
  </si>
  <si>
    <t>Сосновка, Новая, 7</t>
  </si>
  <si>
    <t>Площадь дома - 1092.7 м2</t>
  </si>
  <si>
    <t>Сосновка, Новая, 8</t>
  </si>
  <si>
    <t>Площадь дома - 659.8 м2</t>
  </si>
  <si>
    <t>г. Долинск, ул.Ленина, д.25</t>
  </si>
  <si>
    <t>Площадь дома - 1 357,6 м2</t>
  </si>
  <si>
    <t>Владивостокская, 14</t>
  </si>
  <si>
    <t>Площадь дома - 1 128,1 м2</t>
  </si>
  <si>
    <t>Мытье и протирка дверей и окон в помещениях общего пользования</t>
  </si>
  <si>
    <t>Уборка чердачного и подвального помещения</t>
  </si>
  <si>
    <t>г. Долинск, ул.Ленина, д.28</t>
  </si>
  <si>
    <t>Площадь дома - 734,8 м2</t>
  </si>
  <si>
    <t>г. Долинск, ул.Ленина, д.34</t>
  </si>
  <si>
    <t>Площадь дома - 405,4 м2</t>
  </si>
  <si>
    <t>г. Долинск, ул.Пионерская, д.10</t>
  </si>
  <si>
    <t>Площадь дома - 1889,6 м2</t>
  </si>
  <si>
    <t>г. Долинск, ул.Пионерская, д.12</t>
  </si>
  <si>
    <t>Площадь дома - 852,8 м2</t>
  </si>
  <si>
    <t>г. Долинск, пр.Победы, д.17</t>
  </si>
  <si>
    <t>Площадь дома - 697,4 м2</t>
  </si>
  <si>
    <t>г. Долинск, пр.Победы, д.19</t>
  </si>
  <si>
    <t>Площадь дома - 1069,6 м2</t>
  </si>
  <si>
    <t>г. Долинск, ул.Парковая, д.3Б</t>
  </si>
  <si>
    <t>Покупка электролампочек, дежурное освещение, материалы</t>
  </si>
  <si>
    <t>Расходные материалы для уборки, инвентарь, спецодежда</t>
  </si>
  <si>
    <t>Директор ООО "ЭкоДолинск"</t>
  </si>
  <si>
    <t>Н.З.Гайдученко</t>
  </si>
  <si>
    <t>01.01.2021 г.</t>
  </si>
  <si>
    <t>Комсомольская, 36Б</t>
  </si>
  <si>
    <t>г. Долинск, ул.Вилкова, д.2</t>
  </si>
  <si>
    <t>Площадь дома - 1215,2 м2</t>
  </si>
  <si>
    <t>г. Долинск, ул.Вилкова, д.4</t>
  </si>
  <si>
    <t>г. Долинск, ул.Вилкова, д.6</t>
  </si>
  <si>
    <t>г. Долинск, ул.Вилкова, д.6А</t>
  </si>
  <si>
    <t>г. Долинск, ул.Вилкова, д.6Б</t>
  </si>
  <si>
    <t>За 2021 год</t>
  </si>
  <si>
    <t>01.01.2022 г.</t>
  </si>
  <si>
    <t>Покровка, Новая, 12 А</t>
  </si>
  <si>
    <t>Площадь дома - 1374,3 м2</t>
  </si>
  <si>
    <t>г. Долинск, ул.Вилкова, д.8</t>
  </si>
  <si>
    <t>Площадь дома - 1844,57 м2</t>
  </si>
  <si>
    <t>Площадь дома - 2192,5 м2</t>
  </si>
  <si>
    <t>г. Долинск, ул.Вилкова, д.10</t>
  </si>
  <si>
    <t>г. Долинск, ул.Вилкова, д.12</t>
  </si>
  <si>
    <t>Площадь дома - 2269,2 м2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</si>
</sst>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000&quot;р.&quot;;[Red]\-#,##0.0000&quot;р.&quot;"/>
    <numFmt numFmtId="180" formatCode="0.00;\-0.00;\-"/>
    <numFmt numFmtId="181" formatCode="dd\.mm\.yyyy"/>
    <numFmt numFmtId="182" formatCode="_-* #,##0.0000_р_._-;\-* #,##0.0000_р_._-;_-* &quot;-&quot;????_р_._-;_-@_-"/>
    <numFmt numFmtId="183" formatCode="_-* #,##0.000_р_._-;\-* #,##0.000_р_._-;_-* &quot;-&quot;????_р_._-;_-@_-"/>
    <numFmt numFmtId="184" formatCode="_-* #,##0.00_р_._-;\-* #,##0.00_р_._-;_-* &quot;-&quot;??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&quot;0&quot;0"/>
    <numFmt numFmtId="190" formatCode="#,##0.0"/>
    <numFmt numFmtId="191" formatCode="_-* #,##0.0000\ _₽_-;\-* #,##0.0000\ _₽_-;_-* &quot;-&quot;????\ _₽_-;_-@_-"/>
    <numFmt numFmtId="192" formatCode="&quot;00&quot;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1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71" fontId="1" fillId="0" borderId="11" xfId="58" applyFont="1" applyBorder="1" applyAlignment="1">
      <alignment/>
    </xf>
    <xf numFmtId="0" fontId="1" fillId="0" borderId="10" xfId="0" applyFont="1" applyBorder="1" applyAlignment="1">
      <alignment horizontal="center"/>
    </xf>
    <xf numFmtId="171" fontId="1" fillId="0" borderId="10" xfId="58" applyFont="1" applyBorder="1" applyAlignment="1">
      <alignment/>
    </xf>
    <xf numFmtId="171" fontId="8" fillId="0" borderId="10" xfId="58" applyFont="1" applyBorder="1" applyAlignment="1">
      <alignment/>
    </xf>
    <xf numFmtId="171" fontId="0" fillId="0" borderId="13" xfId="58" applyFont="1" applyBorder="1" applyAlignment="1">
      <alignment/>
    </xf>
    <xf numFmtId="171" fontId="0" fillId="0" borderId="13" xfId="58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13" xfId="0" applyNumberFormat="1" applyBorder="1" applyAlignment="1">
      <alignment horizontal="center" wrapText="1"/>
    </xf>
    <xf numFmtId="171" fontId="8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171" fontId="8" fillId="0" borderId="13" xfId="0" applyNumberFormat="1" applyFont="1" applyBorder="1" applyAlignment="1">
      <alignment wrapText="1"/>
    </xf>
    <xf numFmtId="171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171" fontId="11" fillId="0" borderId="1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3" fontId="0" fillId="0" borderId="0" xfId="0" applyNumberFormat="1" applyAlignment="1">
      <alignment wrapText="1"/>
    </xf>
    <xf numFmtId="4" fontId="3" fillId="0" borderId="0" xfId="0" applyNumberFormat="1" applyFont="1" applyAlignment="1">
      <alignment horizontal="right" wrapText="1"/>
    </xf>
    <xf numFmtId="2" fontId="0" fillId="33" borderId="13" xfId="0" applyNumberForma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1" fontId="0" fillId="33" borderId="13" xfId="58" applyFont="1" applyFill="1" applyBorder="1" applyAlignment="1">
      <alignment horizontal="center" wrapText="1"/>
    </xf>
    <xf numFmtId="0" fontId="10" fillId="0" borderId="16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0" fillId="33" borderId="11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71" fontId="0" fillId="0" borderId="11" xfId="58" applyFont="1" applyBorder="1" applyAlignment="1">
      <alignment horizontal="center" wrapText="1"/>
    </xf>
    <xf numFmtId="171" fontId="0" fillId="0" borderId="10" xfId="58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0"/>
  <sheetViews>
    <sheetView zoomScalePageLayoutView="0" workbookViewId="0" topLeftCell="A10">
      <selection activeCell="E34" sqref="E34:E3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117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118</v>
      </c>
      <c r="B6" s="75"/>
      <c r="C6" s="2"/>
      <c r="D6" s="2"/>
    </row>
    <row r="7" spans="1:4" ht="15" customHeight="1">
      <c r="A7" s="75" t="s">
        <v>56</v>
      </c>
      <c r="B7" s="75"/>
      <c r="C7" s="37">
        <v>316.5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52085.12</v>
      </c>
      <c r="C14" s="15">
        <v>70866.7</v>
      </c>
      <c r="D14" s="15">
        <v>99814.26</v>
      </c>
      <c r="E14" s="15">
        <f>B14+C14-D14</f>
        <v>23137.560000000012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70866.7</v>
      </c>
    </row>
    <row r="19" spans="1:5" ht="12.75">
      <c r="A19" s="63" t="s">
        <v>13</v>
      </c>
      <c r="B19" s="64"/>
      <c r="C19" s="64"/>
      <c r="D19" s="65"/>
      <c r="E19" s="27">
        <f>C14</f>
        <v>70866.7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72069.19048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987.48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2536.33</v>
      </c>
    </row>
    <row r="26" spans="1:5" ht="15.75">
      <c r="A26" s="54" t="s">
        <v>99</v>
      </c>
      <c r="B26" s="55"/>
      <c r="C26" s="55"/>
      <c r="D26" s="56"/>
      <c r="E26" s="23">
        <f>0.8*C7*12*0.688</f>
        <v>2090.4192</v>
      </c>
    </row>
    <row r="27" spans="1:5" ht="15.75">
      <c r="A27" s="54" t="s">
        <v>59</v>
      </c>
      <c r="B27" s="55"/>
      <c r="C27" s="55"/>
      <c r="D27" s="56"/>
      <c r="E27" s="23">
        <f>2.7*C7*12</f>
        <v>10254.6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</f>
        <v>31067.64</v>
      </c>
    </row>
    <row r="30" spans="1:5" ht="15">
      <c r="A30" s="57" t="s">
        <v>19</v>
      </c>
      <c r="B30" s="58"/>
      <c r="C30" s="58"/>
      <c r="D30" s="59"/>
      <c r="E30" s="23">
        <f>2.47*C7*12</f>
        <v>9381.060000000001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7432.89*0.688</f>
        <v>5113.82832</v>
      </c>
    </row>
    <row r="33" spans="1:5" ht="15">
      <c r="A33" s="57" t="s">
        <v>19</v>
      </c>
      <c r="B33" s="58"/>
      <c r="C33" s="58"/>
      <c r="D33" s="59"/>
      <c r="E33" s="23">
        <f>2298.42*0.688</f>
        <v>1581.31296</v>
      </c>
    </row>
    <row r="34" spans="1:5" ht="15.75">
      <c r="A34" s="46" t="s">
        <v>44</v>
      </c>
      <c r="B34" s="47"/>
      <c r="C34" s="47"/>
      <c r="D34" s="48"/>
      <c r="E34" s="49">
        <f>2.41*C7*12-96.66</f>
        <v>9056.52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</sheetData>
  <sheetProtection/>
  <mergeCells count="29">
    <mergeCell ref="E21:E22"/>
    <mergeCell ref="A22:D22"/>
    <mergeCell ref="A1:E1"/>
    <mergeCell ref="A2:E2"/>
    <mergeCell ref="A3:E3"/>
    <mergeCell ref="A6:B6"/>
    <mergeCell ref="A7:B7"/>
    <mergeCell ref="A16:D17"/>
    <mergeCell ref="E16:E17"/>
    <mergeCell ref="A4:E4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40:B40"/>
    <mergeCell ref="A34:D34"/>
    <mergeCell ref="E34:E35"/>
    <mergeCell ref="A35:D35"/>
    <mergeCell ref="A28:D28"/>
    <mergeCell ref="A29:D29"/>
    <mergeCell ref="A30:D30"/>
    <mergeCell ref="A31:D31"/>
    <mergeCell ref="A32:D32"/>
    <mergeCell ref="A33:D33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42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97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98</v>
      </c>
      <c r="B6" s="75"/>
      <c r="C6" s="2"/>
      <c r="D6" s="2"/>
    </row>
    <row r="7" spans="1:4" ht="15" customHeight="1">
      <c r="A7" s="75" t="s">
        <v>56</v>
      </c>
      <c r="B7" s="75"/>
      <c r="C7" s="37">
        <v>700.6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16964.49</v>
      </c>
      <c r="C14" s="15">
        <v>149733.36</v>
      </c>
      <c r="D14" s="15">
        <v>140366</v>
      </c>
      <c r="E14" s="15">
        <f>B14+C14-D14</f>
        <v>26331.849999999977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149733.36</v>
      </c>
    </row>
    <row r="19" spans="1:5" ht="12.75">
      <c r="A19" s="63" t="s">
        <v>13</v>
      </c>
      <c r="B19" s="64"/>
      <c r="C19" s="64"/>
      <c r="D19" s="65"/>
      <c r="E19" s="27">
        <f>C14</f>
        <v>149733.36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152274.07752000002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2185.8720000000003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5358.98</v>
      </c>
    </row>
    <row r="26" spans="1:5" ht="15.75">
      <c r="A26" s="54" t="s">
        <v>99</v>
      </c>
      <c r="B26" s="55"/>
      <c r="C26" s="55"/>
      <c r="D26" s="56"/>
      <c r="E26" s="23">
        <f>0.8*C7*12*0.935</f>
        <v>6288.5856</v>
      </c>
    </row>
    <row r="27" spans="1:5" ht="15.75">
      <c r="A27" s="54" t="s">
        <v>59</v>
      </c>
      <c r="B27" s="55"/>
      <c r="C27" s="55"/>
      <c r="D27" s="56"/>
      <c r="E27" s="23">
        <f>2.7*C7*12</f>
        <v>22699.440000000002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8.18*C7*12*0.935</f>
        <v>64300.787760000014</v>
      </c>
    </row>
    <row r="30" spans="1:5" ht="15">
      <c r="A30" s="57" t="s">
        <v>19</v>
      </c>
      <c r="B30" s="58"/>
      <c r="C30" s="58"/>
      <c r="D30" s="59"/>
      <c r="E30" s="23">
        <f>2.47*C7*12*0.935</f>
        <v>19416.008040000004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8946.86+1300</f>
        <v>10246.86</v>
      </c>
    </row>
    <row r="33" spans="1:5" ht="15">
      <c r="A33" s="57" t="s">
        <v>19</v>
      </c>
      <c r="B33" s="58"/>
      <c r="C33" s="58"/>
      <c r="D33" s="59"/>
      <c r="E33" s="23">
        <f>2701.95+393</f>
        <v>3094.95</v>
      </c>
    </row>
    <row r="34" spans="1:5" ht="15.75">
      <c r="A34" s="46" t="s">
        <v>44</v>
      </c>
      <c r="B34" s="47"/>
      <c r="C34" s="47"/>
      <c r="D34" s="48"/>
      <c r="E34" s="49">
        <f>2.41*C7*12*0.935-261.77</f>
        <v>18682.59412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39" spans="1:4" ht="25.5" customHeight="1">
      <c r="A39" s="45" t="s">
        <v>140</v>
      </c>
      <c r="B39" s="45"/>
      <c r="D39" s="44" t="s">
        <v>141</v>
      </c>
    </row>
    <row r="42" spans="1:4" ht="12.75">
      <c r="A42" s="45"/>
      <c r="B42" s="45"/>
      <c r="D42" s="44"/>
    </row>
  </sheetData>
  <sheetProtection/>
  <mergeCells count="30">
    <mergeCell ref="A22:D22"/>
    <mergeCell ref="A1:E1"/>
    <mergeCell ref="A2:E2"/>
    <mergeCell ref="A3:E3"/>
    <mergeCell ref="A4:E4"/>
    <mergeCell ref="A6:B6"/>
    <mergeCell ref="A7:B7"/>
    <mergeCell ref="A31:D31"/>
    <mergeCell ref="A23:D23"/>
    <mergeCell ref="A24:D24"/>
    <mergeCell ref="A16:D17"/>
    <mergeCell ref="E16:E17"/>
    <mergeCell ref="A18:D18"/>
    <mergeCell ref="A19:D19"/>
    <mergeCell ref="A20:D20"/>
    <mergeCell ref="A21:D21"/>
    <mergeCell ref="E21:E22"/>
    <mergeCell ref="A26:D26"/>
    <mergeCell ref="A25:D25"/>
    <mergeCell ref="A27:D27"/>
    <mergeCell ref="A28:D28"/>
    <mergeCell ref="A29:D29"/>
    <mergeCell ref="A30:D30"/>
    <mergeCell ref="A39:B39"/>
    <mergeCell ref="A42:B42"/>
    <mergeCell ref="A32:D32"/>
    <mergeCell ref="A33:D33"/>
    <mergeCell ref="A34:D34"/>
    <mergeCell ref="E34:E35"/>
    <mergeCell ref="A35:D35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95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96</v>
      </c>
      <c r="B6" s="75"/>
      <c r="C6" s="2"/>
      <c r="D6" s="2"/>
    </row>
    <row r="7" spans="1:4" ht="15" customHeight="1">
      <c r="A7" s="75" t="s">
        <v>56</v>
      </c>
      <c r="B7" s="75"/>
      <c r="C7" s="37">
        <v>629.2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69138.87</v>
      </c>
      <c r="C14" s="15">
        <v>171091.92</v>
      </c>
      <c r="D14" s="15">
        <v>181328.86</v>
      </c>
      <c r="E14" s="15">
        <f>B14+C14-D14</f>
        <v>58901.93000000002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171091.92</v>
      </c>
    </row>
    <row r="19" spans="1:5" ht="12.75">
      <c r="A19" s="63" t="s">
        <v>13</v>
      </c>
      <c r="B19" s="64"/>
      <c r="C19" s="64"/>
      <c r="D19" s="65"/>
      <c r="E19" s="27">
        <f>C14</f>
        <v>171091.92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173995.064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5813.808000000001</v>
      </c>
    </row>
    <row r="25" spans="1:5" ht="15">
      <c r="A25" s="57" t="s">
        <v>19</v>
      </c>
      <c r="B25" s="58"/>
      <c r="C25" s="58"/>
      <c r="D25" s="59"/>
      <c r="E25" s="23">
        <f>0.33*C7*12</f>
        <v>2491.6320000000005</v>
      </c>
    </row>
    <row r="26" spans="1:5" ht="15">
      <c r="A26" s="57" t="s">
        <v>139</v>
      </c>
      <c r="B26" s="58"/>
      <c r="C26" s="58"/>
      <c r="D26" s="59"/>
      <c r="E26" s="23">
        <f>0.29*C7*12+554.8</f>
        <v>2744.416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6123.4</v>
      </c>
    </row>
    <row r="29" spans="1:5" ht="15.75">
      <c r="A29" s="54" t="s">
        <v>59</v>
      </c>
      <c r="B29" s="55"/>
      <c r="C29" s="55"/>
      <c r="D29" s="56"/>
      <c r="E29" s="23">
        <f>2.7*C7*12</f>
        <v>20386.08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57383.04</v>
      </c>
    </row>
    <row r="32" spans="1:5" ht="15">
      <c r="A32" s="57" t="s">
        <v>19</v>
      </c>
      <c r="B32" s="58"/>
      <c r="C32" s="58"/>
      <c r="D32" s="59"/>
      <c r="E32" s="23">
        <f>3.29*C7*12</f>
        <v>24840.816000000003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19857.552</v>
      </c>
    </row>
    <row r="35" spans="1:5" ht="15">
      <c r="A35" s="57" t="s">
        <v>19</v>
      </c>
      <c r="B35" s="58"/>
      <c r="C35" s="58"/>
      <c r="D35" s="59"/>
      <c r="E35" s="23">
        <f>1.14*C7*12</f>
        <v>8607.456</v>
      </c>
    </row>
    <row r="36" spans="1:5" ht="15.75">
      <c r="A36" s="46" t="s">
        <v>44</v>
      </c>
      <c r="B36" s="47"/>
      <c r="C36" s="47"/>
      <c r="D36" s="48"/>
      <c r="E36" s="49">
        <f>3.41*C7*12</f>
        <v>25746.864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G39" sqref="G39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93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94</v>
      </c>
      <c r="B6" s="75"/>
      <c r="C6" s="2"/>
      <c r="D6" s="2"/>
    </row>
    <row r="7" spans="1:4" ht="15" customHeight="1">
      <c r="A7" s="75" t="s">
        <v>56</v>
      </c>
      <c r="B7" s="75"/>
      <c r="C7" s="37">
        <v>633.2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42179.09</v>
      </c>
      <c r="C14" s="15">
        <v>172179.72</v>
      </c>
      <c r="D14" s="15">
        <v>157777.73</v>
      </c>
      <c r="E14" s="15">
        <f>B14+C14-D14</f>
        <v>56581.07999999999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172179.72</v>
      </c>
    </row>
    <row r="19" spans="1:5" ht="12.75">
      <c r="A19" s="63" t="s">
        <v>13</v>
      </c>
      <c r="B19" s="64"/>
      <c r="C19" s="64"/>
      <c r="D19" s="65"/>
      <c r="E19" s="27">
        <f>C14</f>
        <v>172179.72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175101.314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5850.768</v>
      </c>
    </row>
    <row r="25" spans="1:5" ht="15">
      <c r="A25" s="57" t="s">
        <v>19</v>
      </c>
      <c r="B25" s="58"/>
      <c r="C25" s="58"/>
      <c r="D25" s="59"/>
      <c r="E25" s="23">
        <f>0.33*C7*12</f>
        <v>2507.472</v>
      </c>
    </row>
    <row r="26" spans="1:5" ht="15">
      <c r="A26" s="57" t="s">
        <v>139</v>
      </c>
      <c r="B26" s="58"/>
      <c r="C26" s="58"/>
      <c r="D26" s="59"/>
      <c r="E26" s="23">
        <f>0.29*C7*12+558.44</f>
        <v>2761.976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6162.33</v>
      </c>
    </row>
    <row r="29" spans="1:5" ht="15.75">
      <c r="A29" s="54" t="s">
        <v>59</v>
      </c>
      <c r="B29" s="55"/>
      <c r="C29" s="55"/>
      <c r="D29" s="56"/>
      <c r="E29" s="23">
        <f>2.7*C7*12</f>
        <v>20515.680000000004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57747.84</v>
      </c>
    </row>
    <row r="32" spans="1:5" ht="15">
      <c r="A32" s="57" t="s">
        <v>19</v>
      </c>
      <c r="B32" s="58"/>
      <c r="C32" s="58"/>
      <c r="D32" s="59"/>
      <c r="E32" s="23">
        <f>3.29*C7*12</f>
        <v>24998.736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19983.792</v>
      </c>
    </row>
    <row r="35" spans="1:5" ht="15">
      <c r="A35" s="57" t="s">
        <v>19</v>
      </c>
      <c r="B35" s="58"/>
      <c r="C35" s="58"/>
      <c r="D35" s="59"/>
      <c r="E35" s="23">
        <f>1.14*C7*12</f>
        <v>8662.176</v>
      </c>
    </row>
    <row r="36" spans="1:5" ht="15.75">
      <c r="A36" s="46" t="s">
        <v>44</v>
      </c>
      <c r="B36" s="47"/>
      <c r="C36" s="47"/>
      <c r="D36" s="48"/>
      <c r="E36" s="49">
        <f>3.41*C7*12</f>
        <v>25910.544000000005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3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91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92</v>
      </c>
      <c r="B6" s="75"/>
      <c r="C6" s="2"/>
      <c r="D6" s="2"/>
    </row>
    <row r="7" spans="1:4" ht="15" customHeight="1">
      <c r="A7" s="75" t="s">
        <v>56</v>
      </c>
      <c r="B7" s="75"/>
      <c r="C7" s="37">
        <v>625.8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15387.39</v>
      </c>
      <c r="C14" s="15">
        <v>170167.56</v>
      </c>
      <c r="D14" s="15">
        <v>158711.54</v>
      </c>
      <c r="E14" s="15">
        <f>B14+C14-D14</f>
        <v>26843.410000000003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170167.56</v>
      </c>
    </row>
    <row r="19" spans="1:5" ht="12.75">
      <c r="A19" s="63" t="s">
        <v>13</v>
      </c>
      <c r="B19" s="64"/>
      <c r="C19" s="64"/>
      <c r="D19" s="65"/>
      <c r="E19" s="27">
        <f>C14</f>
        <v>170167.56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173055.006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5782.392</v>
      </c>
    </row>
    <row r="25" spans="1:5" ht="15">
      <c r="A25" s="57" t="s">
        <v>19</v>
      </c>
      <c r="B25" s="58"/>
      <c r="C25" s="58"/>
      <c r="D25" s="59"/>
      <c r="E25" s="23">
        <f>0.33*C7*12</f>
        <v>2478.1679999999997</v>
      </c>
    </row>
    <row r="26" spans="1:5" ht="15">
      <c r="A26" s="57" t="s">
        <v>139</v>
      </c>
      <c r="B26" s="58"/>
      <c r="C26" s="58"/>
      <c r="D26" s="59"/>
      <c r="E26" s="23">
        <f>0.29*C7*12+551.95</f>
        <v>2729.7339999999995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6090.32</v>
      </c>
    </row>
    <row r="29" spans="1:5" ht="15.75">
      <c r="A29" s="54" t="s">
        <v>59</v>
      </c>
      <c r="B29" s="55"/>
      <c r="C29" s="55"/>
      <c r="D29" s="56"/>
      <c r="E29" s="23">
        <f>2.7*C7*12</f>
        <v>20275.920000000002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57072.95999999999</v>
      </c>
    </row>
    <row r="32" spans="1:5" ht="15">
      <c r="A32" s="57" t="s">
        <v>19</v>
      </c>
      <c r="B32" s="58"/>
      <c r="C32" s="58"/>
      <c r="D32" s="59"/>
      <c r="E32" s="23">
        <f>3.29*C7*12</f>
        <v>24706.584000000003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19750.248</v>
      </c>
    </row>
    <row r="35" spans="1:5" ht="15">
      <c r="A35" s="57" t="s">
        <v>19</v>
      </c>
      <c r="B35" s="58"/>
      <c r="C35" s="58"/>
      <c r="D35" s="59"/>
      <c r="E35" s="23">
        <f>1.14*C7*12</f>
        <v>8560.944</v>
      </c>
    </row>
    <row r="36" spans="1:5" ht="15.75">
      <c r="A36" s="46" t="s">
        <v>44</v>
      </c>
      <c r="B36" s="47"/>
      <c r="C36" s="47"/>
      <c r="D36" s="48"/>
      <c r="E36" s="49">
        <f>3.41*C7*12</f>
        <v>25607.736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F44"/>
  <sheetViews>
    <sheetView zoomScalePageLayoutView="0" workbookViewId="0" topLeftCell="A10">
      <selection activeCell="E26" sqref="E2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89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90</v>
      </c>
      <c r="B6" s="75"/>
      <c r="C6" s="2"/>
      <c r="D6" s="2"/>
    </row>
    <row r="7" spans="1:4" ht="15" customHeight="1">
      <c r="A7" s="75" t="s">
        <v>56</v>
      </c>
      <c r="B7" s="75"/>
      <c r="C7" s="37">
        <v>584.1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51943.78</v>
      </c>
      <c r="C14" s="15">
        <v>158828.4</v>
      </c>
      <c r="D14" s="15">
        <v>136379.7</v>
      </c>
      <c r="E14" s="15">
        <f>B14+C14-D14</f>
        <v>74392.47999999998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158828.4</v>
      </c>
    </row>
    <row r="19" spans="1:5" ht="12.75">
      <c r="A19" s="63" t="s">
        <v>13</v>
      </c>
      <c r="B19" s="64"/>
      <c r="C19" s="64"/>
      <c r="D19" s="65"/>
      <c r="E19" s="27">
        <f>C14</f>
        <v>158828.4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161523.442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5397.084</v>
      </c>
    </row>
    <row r="25" spans="1:5" ht="15">
      <c r="A25" s="57" t="s">
        <v>19</v>
      </c>
      <c r="B25" s="58"/>
      <c r="C25" s="58"/>
      <c r="D25" s="59"/>
      <c r="E25" s="23">
        <f>0.33*C7*12</f>
        <v>2313.036</v>
      </c>
    </row>
    <row r="26" spans="1:5" ht="15">
      <c r="A26" s="57" t="s">
        <v>139</v>
      </c>
      <c r="B26" s="58"/>
      <c r="C26" s="58"/>
      <c r="D26" s="59"/>
      <c r="E26" s="23">
        <f>0.29*C7*12+515.08</f>
        <v>2547.7479999999996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5684.49</v>
      </c>
    </row>
    <row r="29" spans="1:5" ht="15.75">
      <c r="A29" s="54" t="s">
        <v>59</v>
      </c>
      <c r="B29" s="55"/>
      <c r="C29" s="55"/>
      <c r="D29" s="56"/>
      <c r="E29" s="23">
        <f>2.7*C7*12</f>
        <v>18924.840000000004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53269.92</v>
      </c>
    </row>
    <row r="32" spans="1:5" ht="15">
      <c r="A32" s="57" t="s">
        <v>19</v>
      </c>
      <c r="B32" s="58"/>
      <c r="C32" s="58"/>
      <c r="D32" s="59"/>
      <c r="E32" s="23">
        <f>3.29*C7*12</f>
        <v>23060.268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18434.196</v>
      </c>
    </row>
    <row r="35" spans="1:5" ht="15">
      <c r="A35" s="57" t="s">
        <v>19</v>
      </c>
      <c r="B35" s="58"/>
      <c r="C35" s="58"/>
      <c r="D35" s="59"/>
      <c r="E35" s="23">
        <f>1.14*C7*12</f>
        <v>7990.488</v>
      </c>
    </row>
    <row r="36" spans="1:5" ht="15.75">
      <c r="A36" s="46" t="s">
        <v>44</v>
      </c>
      <c r="B36" s="47"/>
      <c r="C36" s="47"/>
      <c r="D36" s="48"/>
      <c r="E36" s="49">
        <f>3.41*C7*12</f>
        <v>23901.372000000003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1" spans="1:4" ht="25.5" customHeight="1">
      <c r="A41" s="45" t="s">
        <v>140</v>
      </c>
      <c r="B41" s="45"/>
      <c r="D41" s="44" t="s">
        <v>141</v>
      </c>
    </row>
    <row r="44" spans="1:4" ht="12.75">
      <c r="A44" s="45"/>
      <c r="B44" s="45"/>
      <c r="D44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1:B41"/>
    <mergeCell ref="A44:B44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48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152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153</v>
      </c>
      <c r="B6" s="75"/>
      <c r="C6" s="2"/>
      <c r="D6" s="2"/>
    </row>
    <row r="7" spans="1:4" ht="15" customHeight="1">
      <c r="A7" s="75" t="s">
        <v>56</v>
      </c>
      <c r="B7" s="75"/>
      <c r="C7" s="37">
        <v>1105.4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0</v>
      </c>
      <c r="C14" s="15">
        <v>366579.3</v>
      </c>
      <c r="D14" s="15">
        <v>280513.11</v>
      </c>
      <c r="E14" s="15">
        <f>B14+C14-D14</f>
        <v>86066.19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366579.3</v>
      </c>
    </row>
    <row r="19" spans="1:5" ht="12.75">
      <c r="A19" s="63" t="s">
        <v>13</v>
      </c>
      <c r="B19" s="64"/>
      <c r="C19" s="64"/>
      <c r="D19" s="65"/>
      <c r="E19" s="27">
        <f>C14</f>
        <v>366579.3</v>
      </c>
    </row>
    <row r="20" spans="1:5" ht="24.75" customHeight="1">
      <c r="A20" s="66" t="s">
        <v>14</v>
      </c>
      <c r="B20" s="67"/>
      <c r="C20" s="67"/>
      <c r="D20" s="68"/>
      <c r="E20" s="26">
        <f>SUM(E24:E43)</f>
        <v>372799.522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40">
        <f>2.18*C7*12</f>
        <v>28917.264000000003</v>
      </c>
    </row>
    <row r="25" spans="1:5" ht="15">
      <c r="A25" s="57" t="s">
        <v>19</v>
      </c>
      <c r="B25" s="58"/>
      <c r="C25" s="58"/>
      <c r="D25" s="59"/>
      <c r="E25" s="40">
        <f>0.66*C7*12</f>
        <v>8754.768</v>
      </c>
    </row>
    <row r="26" spans="1:5" ht="15">
      <c r="A26" s="57" t="s">
        <v>20</v>
      </c>
      <c r="B26" s="58"/>
      <c r="C26" s="58"/>
      <c r="D26" s="59"/>
      <c r="E26" s="40">
        <f>0.39*C7*12</f>
        <v>5173.272000000001</v>
      </c>
    </row>
    <row r="27" spans="1:5" ht="15.75">
      <c r="A27" s="54" t="s">
        <v>21</v>
      </c>
      <c r="B27" s="55"/>
      <c r="C27" s="55"/>
      <c r="D27" s="56"/>
      <c r="E27" s="40"/>
    </row>
    <row r="28" spans="1:5" ht="15">
      <c r="A28" s="57" t="s">
        <v>18</v>
      </c>
      <c r="B28" s="58"/>
      <c r="C28" s="58"/>
      <c r="D28" s="59"/>
      <c r="E28" s="40">
        <f>3.93*C7*12</f>
        <v>52130.664000000004</v>
      </c>
    </row>
    <row r="29" spans="1:5" ht="15">
      <c r="A29" s="57" t="s">
        <v>19</v>
      </c>
      <c r="B29" s="58"/>
      <c r="C29" s="58"/>
      <c r="D29" s="59"/>
      <c r="E29" s="40">
        <f>1.19*C7*12</f>
        <v>15785.112000000001</v>
      </c>
    </row>
    <row r="30" spans="1:5" ht="15">
      <c r="A30" s="57" t="s">
        <v>20</v>
      </c>
      <c r="B30" s="58"/>
      <c r="C30" s="58"/>
      <c r="D30" s="59"/>
      <c r="E30" s="40">
        <f>0.39*C7*12</f>
        <v>5173.272000000001</v>
      </c>
    </row>
    <row r="31" spans="1:5" ht="15.75">
      <c r="A31" s="54" t="s">
        <v>35</v>
      </c>
      <c r="B31" s="55"/>
      <c r="C31" s="55"/>
      <c r="D31" s="56"/>
      <c r="E31" s="40"/>
    </row>
    <row r="32" spans="1:5" ht="15">
      <c r="A32" s="57" t="s">
        <v>43</v>
      </c>
      <c r="B32" s="58"/>
      <c r="C32" s="58"/>
      <c r="D32" s="59"/>
      <c r="E32" s="40">
        <f>0.88*C7*12</f>
        <v>11673.024000000001</v>
      </c>
    </row>
    <row r="33" spans="1:5" ht="15">
      <c r="A33" s="57" t="s">
        <v>33</v>
      </c>
      <c r="B33" s="58"/>
      <c r="C33" s="58"/>
      <c r="D33" s="59"/>
      <c r="E33" s="40">
        <f>0.03*C7*12</f>
        <v>397.94399999999996</v>
      </c>
    </row>
    <row r="34" spans="1:5" ht="15.75">
      <c r="A34" s="54" t="s">
        <v>59</v>
      </c>
      <c r="B34" s="55"/>
      <c r="C34" s="55"/>
      <c r="D34" s="56"/>
      <c r="E34" s="40">
        <f>3.05*C7*12</f>
        <v>40457.64</v>
      </c>
    </row>
    <row r="35" spans="1:5" ht="15.75">
      <c r="A35" s="54" t="s">
        <v>37</v>
      </c>
      <c r="B35" s="55"/>
      <c r="C35" s="55"/>
      <c r="D35" s="56"/>
      <c r="E35" s="40">
        <f>2*C7*12</f>
        <v>26529.600000000002</v>
      </c>
    </row>
    <row r="36" spans="1:5" ht="28.5" customHeight="1">
      <c r="A36" s="54" t="s">
        <v>38</v>
      </c>
      <c r="B36" s="55"/>
      <c r="C36" s="55"/>
      <c r="D36" s="56"/>
      <c r="E36" s="40"/>
    </row>
    <row r="37" spans="1:5" ht="15">
      <c r="A37" s="57" t="s">
        <v>18</v>
      </c>
      <c r="B37" s="58"/>
      <c r="C37" s="58"/>
      <c r="D37" s="59"/>
      <c r="E37" s="40">
        <f>5.16*C7*12</f>
        <v>68446.368</v>
      </c>
    </row>
    <row r="38" spans="1:5" ht="15">
      <c r="A38" s="57" t="s">
        <v>19</v>
      </c>
      <c r="B38" s="58"/>
      <c r="C38" s="58"/>
      <c r="D38" s="59"/>
      <c r="E38" s="40">
        <f>1.56*C7*12</f>
        <v>20693.088000000003</v>
      </c>
    </row>
    <row r="39" spans="1:5" ht="15.75">
      <c r="A39" s="54" t="s">
        <v>39</v>
      </c>
      <c r="B39" s="55"/>
      <c r="C39" s="55"/>
      <c r="D39" s="56"/>
      <c r="E39" s="40"/>
    </row>
    <row r="40" spans="1:5" ht="15">
      <c r="A40" s="57" t="s">
        <v>18</v>
      </c>
      <c r="B40" s="58"/>
      <c r="C40" s="58"/>
      <c r="D40" s="59"/>
      <c r="E40" s="40">
        <f>2.9*C7*12</f>
        <v>38467.920000000006</v>
      </c>
    </row>
    <row r="41" spans="1:5" ht="25.5" customHeight="1">
      <c r="A41" s="57" t="s">
        <v>19</v>
      </c>
      <c r="B41" s="58"/>
      <c r="C41" s="58"/>
      <c r="D41" s="59"/>
      <c r="E41" s="40">
        <f>0.87*C7*12</f>
        <v>11540.376</v>
      </c>
    </row>
    <row r="42" spans="1:5" ht="15.75">
      <c r="A42" s="46" t="s">
        <v>44</v>
      </c>
      <c r="B42" s="47"/>
      <c r="C42" s="47"/>
      <c r="D42" s="48"/>
      <c r="E42" s="84">
        <f>2.9*C7*12+191.29</f>
        <v>38659.21000000001</v>
      </c>
    </row>
    <row r="43" spans="1:5" ht="12.75">
      <c r="A43" s="51" t="s">
        <v>62</v>
      </c>
      <c r="B43" s="52"/>
      <c r="C43" s="52"/>
      <c r="D43" s="53"/>
      <c r="E43" s="85"/>
    </row>
    <row r="44" spans="1:4" ht="12.75">
      <c r="A44" s="45"/>
      <c r="B44" s="45"/>
      <c r="D44" s="44"/>
    </row>
    <row r="48" spans="1:4" ht="12.75">
      <c r="A48" s="45" t="s">
        <v>140</v>
      </c>
      <c r="B48" s="45"/>
      <c r="D48" s="44" t="s">
        <v>141</v>
      </c>
    </row>
  </sheetData>
  <sheetProtection/>
  <mergeCells count="38">
    <mergeCell ref="A41:D41"/>
    <mergeCell ref="A42:D42"/>
    <mergeCell ref="E42:E43"/>
    <mergeCell ref="A43:D43"/>
    <mergeCell ref="A48:B48"/>
    <mergeCell ref="A34:D34"/>
    <mergeCell ref="A35:D35"/>
    <mergeCell ref="A36:D36"/>
    <mergeCell ref="A44:B44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87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88</v>
      </c>
      <c r="B6" s="75"/>
      <c r="C6" s="2"/>
      <c r="D6" s="2"/>
    </row>
    <row r="7" spans="1:4" ht="15" customHeight="1">
      <c r="A7" s="75" t="s">
        <v>56</v>
      </c>
      <c r="B7" s="75"/>
      <c r="C7" s="37">
        <v>709.1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45527.91</v>
      </c>
      <c r="C14" s="15">
        <v>192818.52</v>
      </c>
      <c r="D14" s="15">
        <v>167927</v>
      </c>
      <c r="E14" s="15">
        <f>B14+C14-D14</f>
        <v>70419.43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192818.52</v>
      </c>
    </row>
    <row r="19" spans="1:5" ht="12.75">
      <c r="A19" s="63" t="s">
        <v>13</v>
      </c>
      <c r="B19" s="64"/>
      <c r="C19" s="64"/>
      <c r="D19" s="65"/>
      <c r="E19" s="27">
        <f>C14</f>
        <v>192818.52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196090.32200000001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6552.084000000001</v>
      </c>
    </row>
    <row r="25" spans="1:5" ht="15">
      <c r="A25" s="57" t="s">
        <v>19</v>
      </c>
      <c r="B25" s="58"/>
      <c r="C25" s="58"/>
      <c r="D25" s="59"/>
      <c r="E25" s="23">
        <f>0.33*C7*12</f>
        <v>2808.036</v>
      </c>
    </row>
    <row r="26" spans="1:5" ht="15">
      <c r="A26" s="57" t="s">
        <v>139</v>
      </c>
      <c r="B26" s="58"/>
      <c r="C26" s="58"/>
      <c r="D26" s="59"/>
      <c r="E26" s="23">
        <f>0.29*C7*12+625.45</f>
        <v>3093.1179999999995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6901</v>
      </c>
    </row>
    <row r="29" spans="1:5" ht="15.75">
      <c r="A29" s="54" t="s">
        <v>59</v>
      </c>
      <c r="B29" s="55"/>
      <c r="C29" s="55"/>
      <c r="D29" s="56"/>
      <c r="E29" s="23">
        <f>2.7*C7*12</f>
        <v>22974.840000000004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64669.92</v>
      </c>
    </row>
    <row r="32" spans="1:5" ht="15">
      <c r="A32" s="57" t="s">
        <v>19</v>
      </c>
      <c r="B32" s="58"/>
      <c r="C32" s="58"/>
      <c r="D32" s="59"/>
      <c r="E32" s="23">
        <f>3.29*C7*12</f>
        <v>27995.268000000004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22379.196</v>
      </c>
    </row>
    <row r="35" spans="1:5" ht="15">
      <c r="A35" s="57" t="s">
        <v>19</v>
      </c>
      <c r="B35" s="58"/>
      <c r="C35" s="58"/>
      <c r="D35" s="59"/>
      <c r="E35" s="23">
        <f>1.14*C7*12</f>
        <v>9700.488</v>
      </c>
    </row>
    <row r="36" spans="1:5" ht="15.75">
      <c r="A36" s="46" t="s">
        <v>44</v>
      </c>
      <c r="B36" s="47"/>
      <c r="C36" s="47"/>
      <c r="D36" s="48"/>
      <c r="E36" s="49">
        <f>3.41*C7*12</f>
        <v>29016.372000000003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85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86</v>
      </c>
      <c r="B6" s="75"/>
      <c r="C6" s="2"/>
      <c r="D6" s="2"/>
    </row>
    <row r="7" spans="1:4" ht="15" customHeight="1">
      <c r="A7" s="75" t="s">
        <v>56</v>
      </c>
      <c r="B7" s="75"/>
      <c r="C7" s="37">
        <v>668.2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34689.57</v>
      </c>
      <c r="C14" s="15">
        <v>181697.16</v>
      </c>
      <c r="D14" s="15">
        <v>164997.48</v>
      </c>
      <c r="E14" s="15">
        <f>B14+C14-D14</f>
        <v>51389.25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181697.16</v>
      </c>
    </row>
    <row r="19" spans="1:5" ht="12.75">
      <c r="A19" s="63" t="s">
        <v>13</v>
      </c>
      <c r="B19" s="64"/>
      <c r="C19" s="64"/>
      <c r="D19" s="65"/>
      <c r="E19" s="27">
        <f>C14</f>
        <v>181697.16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184780.254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6174.168</v>
      </c>
    </row>
    <row r="25" spans="1:5" ht="15">
      <c r="A25" s="57" t="s">
        <v>19</v>
      </c>
      <c r="B25" s="58"/>
      <c r="C25" s="58"/>
      <c r="D25" s="59"/>
      <c r="E25" s="23">
        <f>0.33*C7*12</f>
        <v>2646.072</v>
      </c>
    </row>
    <row r="26" spans="1:5" ht="15">
      <c r="A26" s="57" t="s">
        <v>139</v>
      </c>
      <c r="B26" s="58"/>
      <c r="C26" s="58"/>
      <c r="D26" s="59"/>
      <c r="E26" s="23">
        <f>0.29*C7*12+589.55</f>
        <v>2914.8859999999995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6502.96</v>
      </c>
    </row>
    <row r="29" spans="1:5" ht="15.75">
      <c r="A29" s="54" t="s">
        <v>59</v>
      </c>
      <c r="B29" s="55"/>
      <c r="C29" s="55"/>
      <c r="D29" s="56"/>
      <c r="E29" s="23">
        <f>2.7*C7*12</f>
        <v>21649.680000000004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60939.84</v>
      </c>
    </row>
    <row r="32" spans="1:5" ht="15">
      <c r="A32" s="57" t="s">
        <v>19</v>
      </c>
      <c r="B32" s="58"/>
      <c r="C32" s="58"/>
      <c r="D32" s="59"/>
      <c r="E32" s="23">
        <f>3.29*C7*12</f>
        <v>26380.536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21088.392</v>
      </c>
    </row>
    <row r="35" spans="1:5" ht="15">
      <c r="A35" s="57" t="s">
        <v>19</v>
      </c>
      <c r="B35" s="58"/>
      <c r="C35" s="58"/>
      <c r="D35" s="59"/>
      <c r="E35" s="23">
        <f>1.14*C7*12</f>
        <v>9140.975999999999</v>
      </c>
    </row>
    <row r="36" spans="1:5" ht="15.75">
      <c r="A36" s="46" t="s">
        <v>44</v>
      </c>
      <c r="B36" s="47"/>
      <c r="C36" s="47"/>
      <c r="D36" s="48"/>
      <c r="E36" s="49">
        <f>3.41*C7*12</f>
        <v>27342.744000000006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3" spans="1:4" ht="25.5" customHeight="1">
      <c r="A43" s="45" t="s">
        <v>140</v>
      </c>
      <c r="B43" s="45"/>
      <c r="D43" s="44" t="s">
        <v>141</v>
      </c>
    </row>
    <row r="46" spans="1:4" ht="12.75">
      <c r="A46" s="45"/>
      <c r="B46" s="45"/>
      <c r="D46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3:B43"/>
    <mergeCell ref="A46:B46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83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84</v>
      </c>
      <c r="B6" s="75"/>
      <c r="C6" s="2"/>
      <c r="D6" s="2"/>
    </row>
    <row r="7" spans="1:4" ht="15" customHeight="1">
      <c r="A7" s="75" t="s">
        <v>56</v>
      </c>
      <c r="B7" s="75"/>
      <c r="C7" s="37">
        <v>640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20236.15</v>
      </c>
      <c r="C14" s="15">
        <v>174028.92</v>
      </c>
      <c r="D14" s="15">
        <v>178791.43</v>
      </c>
      <c r="E14" s="15">
        <f>B14+C14-D14</f>
        <v>15473.640000000014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174028.92</v>
      </c>
    </row>
    <row r="19" spans="1:5" ht="12.75">
      <c r="A19" s="63" t="s">
        <v>13</v>
      </c>
      <c r="B19" s="64"/>
      <c r="C19" s="64"/>
      <c r="D19" s="65"/>
      <c r="E19" s="27">
        <f>C14</f>
        <v>174028.92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176981.89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5913.6</v>
      </c>
    </row>
    <row r="25" spans="1:5" ht="15">
      <c r="A25" s="57" t="s">
        <v>19</v>
      </c>
      <c r="B25" s="58"/>
      <c r="C25" s="58"/>
      <c r="D25" s="59"/>
      <c r="E25" s="23">
        <f>0.33*C7*12</f>
        <v>2534.4</v>
      </c>
    </row>
    <row r="26" spans="1:5" ht="15">
      <c r="A26" s="57" t="s">
        <v>139</v>
      </c>
      <c r="B26" s="58"/>
      <c r="C26" s="58"/>
      <c r="D26" s="59"/>
      <c r="E26" s="23">
        <f>0.29*C7*12+564.57</f>
        <v>2791.77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6228.52</v>
      </c>
    </row>
    <row r="29" spans="1:5" ht="15.75">
      <c r="A29" s="54" t="s">
        <v>59</v>
      </c>
      <c r="B29" s="55"/>
      <c r="C29" s="55"/>
      <c r="D29" s="56"/>
      <c r="E29" s="23">
        <f>2.7*C7*12</f>
        <v>20736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58368</v>
      </c>
    </row>
    <row r="32" spans="1:5" ht="15">
      <c r="A32" s="57" t="s">
        <v>19</v>
      </c>
      <c r="B32" s="58"/>
      <c r="C32" s="58"/>
      <c r="D32" s="59"/>
      <c r="E32" s="23">
        <f>3.29*C7*12</f>
        <v>25267.199999999997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20198.399999999998</v>
      </c>
    </row>
    <row r="35" spans="1:5" ht="15">
      <c r="A35" s="57" t="s">
        <v>19</v>
      </c>
      <c r="B35" s="58"/>
      <c r="C35" s="58"/>
      <c r="D35" s="59"/>
      <c r="E35" s="23">
        <f>1.14*C7*12</f>
        <v>8755.199999999999</v>
      </c>
    </row>
    <row r="36" spans="1:5" ht="15.75">
      <c r="A36" s="46" t="s">
        <v>44</v>
      </c>
      <c r="B36" s="47"/>
      <c r="C36" s="47"/>
      <c r="D36" s="48"/>
      <c r="E36" s="49">
        <f>3.41*C7*12</f>
        <v>26188.800000000003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44"/>
  <sheetViews>
    <sheetView zoomScalePageLayoutView="0" workbookViewId="0" topLeftCell="A13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81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82</v>
      </c>
      <c r="B6" s="75"/>
      <c r="C6" s="2"/>
      <c r="D6" s="2"/>
    </row>
    <row r="7" spans="1:4" ht="15" customHeight="1">
      <c r="A7" s="75" t="s">
        <v>56</v>
      </c>
      <c r="B7" s="75"/>
      <c r="C7" s="37">
        <v>585.6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33616.55</v>
      </c>
      <c r="C14" s="15">
        <v>159236.4</v>
      </c>
      <c r="D14" s="15">
        <v>136598.19</v>
      </c>
      <c r="E14" s="15">
        <f>B14+C14-D14</f>
        <v>56254.76000000001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159236.4</v>
      </c>
    </row>
    <row r="19" spans="1:5" ht="12.75">
      <c r="A19" s="63" t="s">
        <v>13</v>
      </c>
      <c r="B19" s="64"/>
      <c r="C19" s="64"/>
      <c r="D19" s="65"/>
      <c r="E19" s="27">
        <f>C14</f>
        <v>159236.4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161938.372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5410.944</v>
      </c>
    </row>
    <row r="25" spans="1:5" ht="15">
      <c r="A25" s="57" t="s">
        <v>19</v>
      </c>
      <c r="B25" s="58"/>
      <c r="C25" s="58"/>
      <c r="D25" s="59"/>
      <c r="E25" s="23">
        <f>0.33*C7*12</f>
        <v>2318.976</v>
      </c>
    </row>
    <row r="26" spans="1:5" ht="15">
      <c r="A26" s="57" t="s">
        <v>139</v>
      </c>
      <c r="B26" s="58"/>
      <c r="C26" s="58"/>
      <c r="D26" s="59"/>
      <c r="E26" s="23">
        <f>0.29*C7*12+516.53</f>
        <v>2554.4179999999997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5699.09</v>
      </c>
    </row>
    <row r="29" spans="1:5" ht="15.75">
      <c r="A29" s="54" t="s">
        <v>59</v>
      </c>
      <c r="B29" s="55"/>
      <c r="C29" s="55"/>
      <c r="D29" s="56"/>
      <c r="E29" s="23">
        <f>2.7*C7*12</f>
        <v>18973.440000000002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53406.72</v>
      </c>
    </row>
    <row r="32" spans="1:5" ht="15">
      <c r="A32" s="57" t="s">
        <v>19</v>
      </c>
      <c r="B32" s="58"/>
      <c r="C32" s="58"/>
      <c r="D32" s="59"/>
      <c r="E32" s="23">
        <f>3.29*C7*12</f>
        <v>23119.488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18481.536</v>
      </c>
    </row>
    <row r="35" spans="1:5" ht="15">
      <c r="A35" s="57" t="s">
        <v>19</v>
      </c>
      <c r="B35" s="58"/>
      <c r="C35" s="58"/>
      <c r="D35" s="59"/>
      <c r="E35" s="23">
        <f>1.14*C7*12</f>
        <v>8011.008</v>
      </c>
    </row>
    <row r="36" spans="1:5" ht="15.75">
      <c r="A36" s="46" t="s">
        <v>44</v>
      </c>
      <c r="B36" s="47"/>
      <c r="C36" s="47"/>
      <c r="D36" s="48"/>
      <c r="E36" s="49">
        <f>3.41*C7*12</f>
        <v>23962.752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1" spans="1:4" ht="25.5" customHeight="1">
      <c r="A41" s="45" t="s">
        <v>140</v>
      </c>
      <c r="B41" s="45"/>
      <c r="D41" s="44" t="s">
        <v>141</v>
      </c>
    </row>
    <row r="44" spans="1:4" ht="12.75">
      <c r="A44" s="45"/>
      <c r="B44" s="45"/>
      <c r="D44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1:B41"/>
    <mergeCell ref="A44:B44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0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11.37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115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116</v>
      </c>
      <c r="B6" s="75"/>
      <c r="C6" s="2"/>
      <c r="D6" s="2"/>
    </row>
    <row r="7" spans="1:4" ht="15" customHeight="1">
      <c r="A7" s="75" t="s">
        <v>56</v>
      </c>
      <c r="B7" s="75"/>
      <c r="C7" s="37">
        <v>540.1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6" ht="14.25">
      <c r="A14" s="14" t="s">
        <v>9</v>
      </c>
      <c r="B14" s="15">
        <v>121479.81</v>
      </c>
      <c r="C14" s="15">
        <v>36820.38</v>
      </c>
      <c r="D14" s="15">
        <v>105490.13</v>
      </c>
      <c r="E14" s="15">
        <f>B14+C14-D14</f>
        <v>52810.06</v>
      </c>
      <c r="F14" s="38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36820.38</v>
      </c>
    </row>
    <row r="19" spans="1:5" ht="12.75">
      <c r="A19" s="63" t="s">
        <v>13</v>
      </c>
      <c r="B19" s="64"/>
      <c r="C19" s="64"/>
      <c r="D19" s="65"/>
      <c r="E19" s="27">
        <f>C14</f>
        <v>36820.38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37445.15922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0.26*C7*10*0.421</f>
        <v>591.1934600000001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1317.81</v>
      </c>
    </row>
    <row r="26" spans="1:5" ht="15.75">
      <c r="A26" s="54" t="s">
        <v>99</v>
      </c>
      <c r="B26" s="55"/>
      <c r="C26" s="55"/>
      <c r="D26" s="56"/>
      <c r="E26" s="23">
        <f>0.8*C7*10*0.421</f>
        <v>1819.0568</v>
      </c>
    </row>
    <row r="27" spans="1:5" ht="15.75">
      <c r="A27" s="54" t="s">
        <v>59</v>
      </c>
      <c r="B27" s="55"/>
      <c r="C27" s="55"/>
      <c r="D27" s="56"/>
      <c r="E27" s="23">
        <f>2.7*C7*10*0.421</f>
        <v>6139.316700000001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8.18*C7*10*0.421-3700</f>
        <v>14899.855779999998</v>
      </c>
    </row>
    <row r="30" spans="1:5" ht="15">
      <c r="A30" s="57" t="s">
        <v>19</v>
      </c>
      <c r="B30" s="58"/>
      <c r="C30" s="58"/>
      <c r="D30" s="59"/>
      <c r="E30" s="23">
        <f>2.47*C7*10*0.421-1117.4</f>
        <v>4498.937870000002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v>2200.09</v>
      </c>
    </row>
    <row r="33" spans="1:5" ht="15">
      <c r="A33" s="57" t="s">
        <v>19</v>
      </c>
      <c r="B33" s="58"/>
      <c r="C33" s="58"/>
      <c r="D33" s="59"/>
      <c r="E33" s="23">
        <v>664.43</v>
      </c>
    </row>
    <row r="34" spans="1:5" ht="15.75">
      <c r="A34" s="46" t="s">
        <v>44</v>
      </c>
      <c r="B34" s="47"/>
      <c r="C34" s="47"/>
      <c r="D34" s="48"/>
      <c r="E34" s="49">
        <f>2.41*C7*10*0.421-165.44</f>
        <v>5314.46861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</sheetData>
  <sheetProtection/>
  <mergeCells count="29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40:B40"/>
    <mergeCell ref="A34:D34"/>
    <mergeCell ref="E34:E35"/>
    <mergeCell ref="A35:D35"/>
    <mergeCell ref="A28:D28"/>
    <mergeCell ref="A29:D29"/>
    <mergeCell ref="A30:D30"/>
    <mergeCell ref="A31:D31"/>
    <mergeCell ref="A32:D32"/>
    <mergeCell ref="A33:D3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79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80</v>
      </c>
      <c r="B6" s="75"/>
      <c r="C6" s="2"/>
      <c r="D6" s="2"/>
    </row>
    <row r="7" spans="1:4" ht="15" customHeight="1">
      <c r="A7" s="75" t="s">
        <v>56</v>
      </c>
      <c r="B7" s="75"/>
      <c r="C7" s="37">
        <v>498.7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70130.94</v>
      </c>
      <c r="C14" s="15">
        <v>135606.48</v>
      </c>
      <c r="D14" s="15">
        <v>97614.19</v>
      </c>
      <c r="E14" s="15">
        <f>B14+C14-D14</f>
        <v>108123.23000000001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135606.48</v>
      </c>
    </row>
    <row r="19" spans="1:5" ht="12.75">
      <c r="A19" s="63" t="s">
        <v>13</v>
      </c>
      <c r="B19" s="64"/>
      <c r="C19" s="64"/>
      <c r="D19" s="65"/>
      <c r="E19" s="27">
        <f>C14</f>
        <v>135606.48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137907.494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4607.988</v>
      </c>
    </row>
    <row r="25" spans="1:5" ht="15">
      <c r="A25" s="57" t="s">
        <v>19</v>
      </c>
      <c r="B25" s="58"/>
      <c r="C25" s="58"/>
      <c r="D25" s="59"/>
      <c r="E25" s="23">
        <f>0.33*C7*12</f>
        <v>1974.8519999999999</v>
      </c>
    </row>
    <row r="26" spans="1:5" ht="15">
      <c r="A26" s="57" t="s">
        <v>139</v>
      </c>
      <c r="B26" s="58"/>
      <c r="C26" s="58"/>
      <c r="D26" s="59"/>
      <c r="E26" s="23">
        <f>0.29*C7*12+439.82</f>
        <v>2175.296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4853.37</v>
      </c>
    </row>
    <row r="29" spans="1:5" ht="15.75">
      <c r="A29" s="54" t="s">
        <v>59</v>
      </c>
      <c r="B29" s="55"/>
      <c r="C29" s="55"/>
      <c r="D29" s="56"/>
      <c r="E29" s="23">
        <f>2.7*C7*12</f>
        <v>16157.880000000001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45481.44</v>
      </c>
    </row>
    <row r="32" spans="1:5" ht="15">
      <c r="A32" s="57" t="s">
        <v>19</v>
      </c>
      <c r="B32" s="58"/>
      <c r="C32" s="58"/>
      <c r="D32" s="59"/>
      <c r="E32" s="23">
        <f>3.29*C7*12</f>
        <v>19688.676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15738.971999999998</v>
      </c>
    </row>
    <row r="35" spans="1:5" ht="15">
      <c r="A35" s="57" t="s">
        <v>19</v>
      </c>
      <c r="B35" s="58"/>
      <c r="C35" s="58"/>
      <c r="D35" s="59"/>
      <c r="E35" s="23">
        <f>1.14*C7*12</f>
        <v>6822.2159999999985</v>
      </c>
    </row>
    <row r="36" spans="1:5" ht="15.75">
      <c r="A36" s="46" t="s">
        <v>44</v>
      </c>
      <c r="B36" s="47"/>
      <c r="C36" s="47"/>
      <c r="D36" s="48"/>
      <c r="E36" s="49">
        <f>3.41*C7*12</f>
        <v>20406.804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77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78</v>
      </c>
      <c r="B6" s="75"/>
      <c r="C6" s="2"/>
      <c r="D6" s="2"/>
    </row>
    <row r="7" spans="1:4" ht="15" customHeight="1">
      <c r="A7" s="75" t="s">
        <v>56</v>
      </c>
      <c r="B7" s="75"/>
      <c r="C7" s="37">
        <v>574.7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34685.49</v>
      </c>
      <c r="C14" s="15">
        <v>156272.28</v>
      </c>
      <c r="D14" s="15">
        <v>169818.18</v>
      </c>
      <c r="E14" s="15">
        <f>B14+C14-D14</f>
        <v>21139.589999999997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156272.28</v>
      </c>
    </row>
    <row r="19" spans="1:5" ht="12.75">
      <c r="A19" s="63" t="s">
        <v>13</v>
      </c>
      <c r="B19" s="64"/>
      <c r="C19" s="64"/>
      <c r="D19" s="65"/>
      <c r="E19" s="27">
        <f>C14</f>
        <v>156272.28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158923.95400000003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5310.228000000001</v>
      </c>
    </row>
    <row r="25" spans="1:5" ht="15">
      <c r="A25" s="57" t="s">
        <v>19</v>
      </c>
      <c r="B25" s="58"/>
      <c r="C25" s="58"/>
      <c r="D25" s="59"/>
      <c r="E25" s="23">
        <f>0.33*C7*12</f>
        <v>2275.812</v>
      </c>
    </row>
    <row r="26" spans="1:5" ht="15">
      <c r="A26" s="57" t="s">
        <v>139</v>
      </c>
      <c r="B26" s="58"/>
      <c r="C26" s="58"/>
      <c r="D26" s="59"/>
      <c r="E26" s="23">
        <f>0.29*C7*12+506.73</f>
        <v>2506.686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5593</v>
      </c>
    </row>
    <row r="29" spans="1:5" ht="15.75">
      <c r="A29" s="54" t="s">
        <v>59</v>
      </c>
      <c r="B29" s="55"/>
      <c r="C29" s="55"/>
      <c r="D29" s="56"/>
      <c r="E29" s="23">
        <f>2.7*C7*12</f>
        <v>18620.280000000002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52412.64</v>
      </c>
    </row>
    <row r="32" spans="1:5" ht="15">
      <c r="A32" s="57" t="s">
        <v>19</v>
      </c>
      <c r="B32" s="58"/>
      <c r="C32" s="58"/>
      <c r="D32" s="59"/>
      <c r="E32" s="23">
        <f>3.29*C7*12</f>
        <v>22689.156000000003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18137.532</v>
      </c>
    </row>
    <row r="35" spans="1:5" ht="15">
      <c r="A35" s="57" t="s">
        <v>19</v>
      </c>
      <c r="B35" s="58"/>
      <c r="C35" s="58"/>
      <c r="D35" s="59"/>
      <c r="E35" s="23">
        <f>1.14*C7*12</f>
        <v>7861.896000000001</v>
      </c>
    </row>
    <row r="36" spans="1:5" ht="15.75">
      <c r="A36" s="46" t="s">
        <v>44</v>
      </c>
      <c r="B36" s="47"/>
      <c r="C36" s="47"/>
      <c r="D36" s="48"/>
      <c r="E36" s="49">
        <f>3.41*C7*12</f>
        <v>23516.724000000002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6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75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76</v>
      </c>
      <c r="B6" s="75"/>
      <c r="C6" s="2"/>
      <c r="D6" s="2"/>
    </row>
    <row r="7" spans="1:4" ht="15" customHeight="1">
      <c r="A7" s="75" t="s">
        <v>56</v>
      </c>
      <c r="B7" s="75"/>
      <c r="C7" s="37">
        <v>636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13389.41</v>
      </c>
      <c r="C14" s="15">
        <v>172941.24</v>
      </c>
      <c r="D14" s="15">
        <v>163338.72</v>
      </c>
      <c r="E14" s="15">
        <f>B14+C14-D14</f>
        <v>22991.929999999993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172941.24</v>
      </c>
    </row>
    <row r="19" spans="1:5" ht="12.75">
      <c r="A19" s="63" t="s">
        <v>13</v>
      </c>
      <c r="B19" s="64"/>
      <c r="C19" s="64"/>
      <c r="D19" s="65"/>
      <c r="E19" s="27">
        <f>C14</f>
        <v>172941.24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175875.76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5876.64</v>
      </c>
    </row>
    <row r="25" spans="1:5" ht="15">
      <c r="A25" s="57" t="s">
        <v>19</v>
      </c>
      <c r="B25" s="58"/>
      <c r="C25" s="58"/>
      <c r="D25" s="59"/>
      <c r="E25" s="23">
        <f>0.33*C7*12</f>
        <v>2518.5600000000004</v>
      </c>
    </row>
    <row r="26" spans="1:5" ht="15">
      <c r="A26" s="57" t="s">
        <v>139</v>
      </c>
      <c r="B26" s="58"/>
      <c r="C26" s="58"/>
      <c r="D26" s="59"/>
      <c r="E26" s="23">
        <f>0.29*C7*12+561.05</f>
        <v>2774.33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6189.59</v>
      </c>
    </row>
    <row r="29" spans="1:5" ht="15.75">
      <c r="A29" s="54" t="s">
        <v>59</v>
      </c>
      <c r="B29" s="55"/>
      <c r="C29" s="55"/>
      <c r="D29" s="56"/>
      <c r="E29" s="23">
        <f>2.7*C7*12</f>
        <v>20606.4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58003.2</v>
      </c>
    </row>
    <row r="32" spans="1:5" ht="15">
      <c r="A32" s="57" t="s">
        <v>19</v>
      </c>
      <c r="B32" s="58"/>
      <c r="C32" s="58"/>
      <c r="D32" s="59"/>
      <c r="E32" s="23">
        <f>3.29*C7*12</f>
        <v>25109.28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20072.159999999996</v>
      </c>
    </row>
    <row r="35" spans="1:5" ht="21" customHeight="1">
      <c r="A35" s="57" t="s">
        <v>19</v>
      </c>
      <c r="B35" s="58"/>
      <c r="C35" s="58"/>
      <c r="D35" s="59"/>
      <c r="E35" s="23">
        <f>1.14*C7*12</f>
        <v>8700.48</v>
      </c>
    </row>
    <row r="36" spans="1:5" ht="15.75">
      <c r="A36" s="46" t="s">
        <v>44</v>
      </c>
      <c r="B36" s="47"/>
      <c r="C36" s="47"/>
      <c r="D36" s="48"/>
      <c r="E36" s="49">
        <f>3.41*C7*12</f>
        <v>26025.120000000003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3" spans="1:4" ht="25.5" customHeight="1">
      <c r="A43" s="45" t="s">
        <v>140</v>
      </c>
      <c r="B43" s="45"/>
      <c r="D43" s="44" t="s">
        <v>141</v>
      </c>
    </row>
    <row r="46" spans="1:4" ht="12.75">
      <c r="A46" s="45"/>
      <c r="B46" s="45"/>
      <c r="D46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3:B43"/>
    <mergeCell ref="A46:B46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73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74</v>
      </c>
      <c r="B6" s="75"/>
      <c r="C6" s="2"/>
      <c r="D6" s="2"/>
    </row>
    <row r="7" spans="1:4" ht="15" customHeight="1">
      <c r="A7" s="75" t="s">
        <v>56</v>
      </c>
      <c r="B7" s="75"/>
      <c r="C7" s="37">
        <v>632.7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44189.71</v>
      </c>
      <c r="C14" s="15">
        <v>172043.76</v>
      </c>
      <c r="D14" s="15">
        <v>175316.17</v>
      </c>
      <c r="E14" s="15">
        <f>B14+C14-D14</f>
        <v>40917.29999999999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172043.76</v>
      </c>
    </row>
    <row r="19" spans="1:5" ht="12.75">
      <c r="A19" s="63" t="s">
        <v>13</v>
      </c>
      <c r="B19" s="64"/>
      <c r="C19" s="64"/>
      <c r="D19" s="65"/>
      <c r="E19" s="27">
        <f>C14</f>
        <v>172043.76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174963.054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5846.148</v>
      </c>
    </row>
    <row r="25" spans="1:5" ht="15">
      <c r="A25" s="57" t="s">
        <v>19</v>
      </c>
      <c r="B25" s="58"/>
      <c r="C25" s="58"/>
      <c r="D25" s="59"/>
      <c r="E25" s="23">
        <f>0.33*C7*12</f>
        <v>2505.492</v>
      </c>
    </row>
    <row r="26" spans="1:5" ht="15">
      <c r="A26" s="57" t="s">
        <v>139</v>
      </c>
      <c r="B26" s="58"/>
      <c r="C26" s="58"/>
      <c r="D26" s="59"/>
      <c r="E26" s="23">
        <f>0.29*C7*12+558</f>
        <v>2759.7960000000003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6157.47</v>
      </c>
    </row>
    <row r="29" spans="1:5" ht="15.75">
      <c r="A29" s="54" t="s">
        <v>59</v>
      </c>
      <c r="B29" s="55"/>
      <c r="C29" s="55"/>
      <c r="D29" s="56"/>
      <c r="E29" s="23">
        <f>2.7*C7*12</f>
        <v>20499.480000000003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57702.240000000005</v>
      </c>
    </row>
    <row r="32" spans="1:5" ht="15">
      <c r="A32" s="57" t="s">
        <v>19</v>
      </c>
      <c r="B32" s="58"/>
      <c r="C32" s="58"/>
      <c r="D32" s="59"/>
      <c r="E32" s="23">
        <f>3.29*C7*12</f>
        <v>24978.996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19968.012</v>
      </c>
    </row>
    <row r="35" spans="1:5" ht="15">
      <c r="A35" s="57" t="s">
        <v>19</v>
      </c>
      <c r="B35" s="58"/>
      <c r="C35" s="58"/>
      <c r="D35" s="59"/>
      <c r="E35" s="23">
        <f>1.14*C7*12</f>
        <v>8655.336</v>
      </c>
    </row>
    <row r="36" spans="1:5" ht="15.75">
      <c r="A36" s="46" t="s">
        <v>44</v>
      </c>
      <c r="B36" s="47"/>
      <c r="C36" s="47"/>
      <c r="D36" s="48"/>
      <c r="E36" s="49">
        <f>3.41*C7*12</f>
        <v>25890.084000000003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71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72</v>
      </c>
      <c r="B6" s="75"/>
      <c r="C6" s="2"/>
      <c r="D6" s="2"/>
    </row>
    <row r="7" spans="1:4" ht="15" customHeight="1">
      <c r="A7" s="75" t="s">
        <v>56</v>
      </c>
      <c r="B7" s="75"/>
      <c r="C7" s="37">
        <v>633.9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90106.09</v>
      </c>
      <c r="C14" s="15">
        <v>172261.08</v>
      </c>
      <c r="D14" s="15">
        <v>143481.37</v>
      </c>
      <c r="E14" s="15">
        <f>B14+C14-D14</f>
        <v>118885.79999999999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172261.08</v>
      </c>
    </row>
    <row r="19" spans="1:5" ht="12.75">
      <c r="A19" s="63" t="s">
        <v>13</v>
      </c>
      <c r="B19" s="64"/>
      <c r="C19" s="64"/>
      <c r="D19" s="65"/>
      <c r="E19" s="27">
        <f>C14</f>
        <v>172261.08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175184.04799999998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5857.236</v>
      </c>
    </row>
    <row r="25" spans="1:5" ht="15">
      <c r="A25" s="57" t="s">
        <v>19</v>
      </c>
      <c r="B25" s="58"/>
      <c r="C25" s="58"/>
      <c r="D25" s="59"/>
      <c r="E25" s="23">
        <f>0.33*C7*12</f>
        <v>2510.244</v>
      </c>
    </row>
    <row r="26" spans="1:5" ht="15">
      <c r="A26" s="57" t="s">
        <v>139</v>
      </c>
      <c r="B26" s="58"/>
      <c r="C26" s="58"/>
      <c r="D26" s="59"/>
      <c r="E26" s="23">
        <f>0.29*C7*12+452.11</f>
        <v>2658.082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6165.25</v>
      </c>
    </row>
    <row r="29" spans="1:5" ht="15.75">
      <c r="A29" s="54" t="s">
        <v>59</v>
      </c>
      <c r="B29" s="55"/>
      <c r="C29" s="55"/>
      <c r="D29" s="56"/>
      <c r="E29" s="23">
        <f>2.7*C7*12</f>
        <v>20538.36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57811.67999999999</v>
      </c>
    </row>
    <row r="32" spans="1:5" ht="15">
      <c r="A32" s="57" t="s">
        <v>19</v>
      </c>
      <c r="B32" s="58"/>
      <c r="C32" s="58"/>
      <c r="D32" s="59"/>
      <c r="E32" s="23">
        <f>3.29*C7*12</f>
        <v>25026.372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20005.884</v>
      </c>
    </row>
    <row r="35" spans="1:5" ht="15">
      <c r="A35" s="57" t="s">
        <v>19</v>
      </c>
      <c r="B35" s="58"/>
      <c r="C35" s="58"/>
      <c r="D35" s="59"/>
      <c r="E35" s="23">
        <f>1.14*C7*12</f>
        <v>8671.752</v>
      </c>
    </row>
    <row r="36" spans="1:5" ht="15.75">
      <c r="A36" s="46" t="s">
        <v>44</v>
      </c>
      <c r="B36" s="47"/>
      <c r="C36" s="47"/>
      <c r="D36" s="48"/>
      <c r="E36" s="49">
        <f>3.41*C7*12</f>
        <v>25939.188000000002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2:B42"/>
    <mergeCell ref="A45:B45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3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69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70</v>
      </c>
      <c r="B6" s="75"/>
      <c r="C6" s="2"/>
      <c r="D6" s="2"/>
    </row>
    <row r="7" spans="1:4" ht="15" customHeight="1">
      <c r="A7" s="75" t="s">
        <v>56</v>
      </c>
      <c r="B7" s="75"/>
      <c r="C7" s="37">
        <v>639.9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63293.36</v>
      </c>
      <c r="C14" s="15">
        <v>173974.44</v>
      </c>
      <c r="D14" s="15">
        <v>152976.97</v>
      </c>
      <c r="E14" s="15">
        <f>B14+C14-D14</f>
        <v>84290.82999999999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173974.44</v>
      </c>
    </row>
    <row r="19" spans="1:5" ht="12.75">
      <c r="A19" s="63" t="s">
        <v>13</v>
      </c>
      <c r="B19" s="64"/>
      <c r="C19" s="64"/>
      <c r="D19" s="65"/>
      <c r="E19" s="27">
        <f>C14</f>
        <v>173974.44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176926.48799999998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5912.676</v>
      </c>
    </row>
    <row r="25" spans="1:5" ht="15">
      <c r="A25" s="57" t="s">
        <v>19</v>
      </c>
      <c r="B25" s="58"/>
      <c r="C25" s="58"/>
      <c r="D25" s="59"/>
      <c r="E25" s="23">
        <f>0.33*C7*12</f>
        <v>2534.004</v>
      </c>
    </row>
    <row r="26" spans="1:5" ht="15">
      <c r="A26" s="57" t="s">
        <v>139</v>
      </c>
      <c r="B26" s="58"/>
      <c r="C26" s="58"/>
      <c r="D26" s="59"/>
      <c r="E26" s="23">
        <f>0.29*C7*12+537.71</f>
        <v>2764.562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6226.57</v>
      </c>
    </row>
    <row r="29" spans="1:5" ht="15.75">
      <c r="A29" s="54" t="s">
        <v>59</v>
      </c>
      <c r="B29" s="55"/>
      <c r="C29" s="55"/>
      <c r="D29" s="56"/>
      <c r="E29" s="23">
        <f>2.7*C7*12</f>
        <v>20732.760000000002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58358.88</v>
      </c>
    </row>
    <row r="32" spans="1:5" ht="15">
      <c r="A32" s="57" t="s">
        <v>19</v>
      </c>
      <c r="B32" s="58"/>
      <c r="C32" s="58"/>
      <c r="D32" s="59"/>
      <c r="E32" s="23">
        <f>3.29*C7*12</f>
        <v>25263.251999999997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20195.244</v>
      </c>
    </row>
    <row r="35" spans="1:5" ht="15">
      <c r="A35" s="57" t="s">
        <v>19</v>
      </c>
      <c r="B35" s="58"/>
      <c r="C35" s="58"/>
      <c r="D35" s="59"/>
      <c r="E35" s="23">
        <f>1.14*C7*12</f>
        <v>8753.831999999999</v>
      </c>
    </row>
    <row r="36" spans="1:5" ht="15.75">
      <c r="A36" s="46" t="s">
        <v>44</v>
      </c>
      <c r="B36" s="47"/>
      <c r="C36" s="47"/>
      <c r="D36" s="48"/>
      <c r="E36" s="49">
        <f>3.41*C7*12</f>
        <v>26184.708000000002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3" spans="1:4" ht="25.5" customHeight="1">
      <c r="A43" s="45" t="s">
        <v>140</v>
      </c>
      <c r="B43" s="45"/>
      <c r="D43" s="44" t="s">
        <v>141</v>
      </c>
    </row>
    <row r="46" spans="1:4" ht="12.75">
      <c r="A46" s="45"/>
      <c r="B46" s="45"/>
      <c r="D46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3:B43"/>
    <mergeCell ref="A46:B46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F47"/>
  <sheetViews>
    <sheetView zoomScalePageLayoutView="0" workbookViewId="0" topLeftCell="A16">
      <selection activeCell="E27" sqref="E2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67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68</v>
      </c>
      <c r="B6" s="75"/>
      <c r="C6" s="2"/>
      <c r="D6" s="2"/>
    </row>
    <row r="7" spans="1:4" ht="15" customHeight="1">
      <c r="A7" s="75" t="s">
        <v>56</v>
      </c>
      <c r="B7" s="75"/>
      <c r="C7" s="37">
        <v>631.1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16931.97</v>
      </c>
      <c r="C14" s="15">
        <v>171608.64</v>
      </c>
      <c r="D14" s="15">
        <v>174273.04</v>
      </c>
      <c r="E14" s="15">
        <f>B14+C14-D14</f>
        <v>14267.570000000007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171608.64</v>
      </c>
    </row>
    <row r="19" spans="1:5" ht="12.75">
      <c r="A19" s="63" t="s">
        <v>13</v>
      </c>
      <c r="B19" s="64"/>
      <c r="C19" s="64"/>
      <c r="D19" s="65"/>
      <c r="E19" s="27">
        <f>C14</f>
        <v>171608.64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174520.542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5831.364</v>
      </c>
    </row>
    <row r="25" spans="1:5" ht="15">
      <c r="A25" s="57" t="s">
        <v>19</v>
      </c>
      <c r="B25" s="58"/>
      <c r="C25" s="58"/>
      <c r="D25" s="59"/>
      <c r="E25" s="23">
        <f>0.33*C7*12</f>
        <v>2499.156</v>
      </c>
    </row>
    <row r="26" spans="1:5" ht="15">
      <c r="A26" s="57" t="s">
        <v>139</v>
      </c>
      <c r="B26" s="58"/>
      <c r="C26" s="58"/>
      <c r="D26" s="59"/>
      <c r="E26" s="23">
        <f>0.29*C7*12+556.54</f>
        <v>2752.768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6141.89</v>
      </c>
    </row>
    <row r="29" spans="1:5" ht="15.75">
      <c r="A29" s="54" t="s">
        <v>59</v>
      </c>
      <c r="B29" s="55"/>
      <c r="C29" s="55"/>
      <c r="D29" s="56"/>
      <c r="E29" s="23">
        <f>2.7*C7*12</f>
        <v>20447.640000000003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57556.31999999999</v>
      </c>
    </row>
    <row r="32" spans="1:5" ht="15">
      <c r="A32" s="57" t="s">
        <v>19</v>
      </c>
      <c r="B32" s="58"/>
      <c r="C32" s="58"/>
      <c r="D32" s="59"/>
      <c r="E32" s="23">
        <f>3.29*C7*12</f>
        <v>24915.828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19917.516</v>
      </c>
    </row>
    <row r="35" spans="1:5" ht="15">
      <c r="A35" s="57" t="s">
        <v>19</v>
      </c>
      <c r="B35" s="58"/>
      <c r="C35" s="58"/>
      <c r="D35" s="59"/>
      <c r="E35" s="23">
        <f>1.14*C7*12</f>
        <v>8633.448</v>
      </c>
    </row>
    <row r="36" spans="1:5" ht="15.75">
      <c r="A36" s="46" t="s">
        <v>44</v>
      </c>
      <c r="B36" s="47"/>
      <c r="C36" s="47"/>
      <c r="D36" s="48"/>
      <c r="E36" s="49">
        <f>3.41*C7*12</f>
        <v>25824.612000000005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4" spans="1:4" ht="25.5" customHeight="1">
      <c r="A44" s="45" t="s">
        <v>140</v>
      </c>
      <c r="B44" s="45"/>
      <c r="D44" s="44" t="s">
        <v>141</v>
      </c>
    </row>
    <row r="47" spans="1:4" ht="12.75">
      <c r="A47" s="45"/>
      <c r="B47" s="45"/>
      <c r="D47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4:B44"/>
    <mergeCell ref="A47:B47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0">
      <selection activeCell="E38" sqref="E38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66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65</v>
      </c>
      <c r="B6" s="75"/>
      <c r="C6" s="2"/>
      <c r="D6" s="2"/>
    </row>
    <row r="7" spans="1:4" ht="15" customHeight="1">
      <c r="A7" s="75" t="s">
        <v>56</v>
      </c>
      <c r="B7" s="75"/>
      <c r="C7" s="37">
        <v>628.2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88795.32</v>
      </c>
      <c r="C14" s="15">
        <v>169522.91</v>
      </c>
      <c r="D14" s="15">
        <v>117939.6</v>
      </c>
      <c r="E14" s="15">
        <f>B14+C14-D14</f>
        <v>140378.63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169522.91</v>
      </c>
    </row>
    <row r="19" spans="1:5" ht="12.75">
      <c r="A19" s="63" t="s">
        <v>13</v>
      </c>
      <c r="B19" s="64"/>
      <c r="C19" s="64"/>
      <c r="D19" s="65"/>
      <c r="E19" s="27">
        <f>C14</f>
        <v>169522.91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172399.42400000003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5804.568000000001</v>
      </c>
    </row>
    <row r="25" spans="1:5" ht="15">
      <c r="A25" s="57" t="s">
        <v>19</v>
      </c>
      <c r="B25" s="58"/>
      <c r="C25" s="58"/>
      <c r="D25" s="59"/>
      <c r="E25" s="23">
        <f>0.33*C7*12</f>
        <v>2487.672</v>
      </c>
    </row>
    <row r="26" spans="1:5" ht="15">
      <c r="A26" s="57" t="s">
        <v>139</v>
      </c>
      <c r="B26" s="58"/>
      <c r="C26" s="58"/>
      <c r="D26" s="59"/>
      <c r="E26" s="23">
        <f>0.29*C7*12</f>
        <v>2186.136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6067.25</v>
      </c>
    </row>
    <row r="29" spans="1:5" ht="15.75">
      <c r="A29" s="54" t="s">
        <v>59</v>
      </c>
      <c r="B29" s="55"/>
      <c r="C29" s="55"/>
      <c r="D29" s="56"/>
      <c r="E29" s="23">
        <f>2.7*C7*12</f>
        <v>20353.680000000004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57291.84</v>
      </c>
    </row>
    <row r="32" spans="1:5" ht="15">
      <c r="A32" s="57" t="s">
        <v>19</v>
      </c>
      <c r="B32" s="58"/>
      <c r="C32" s="58"/>
      <c r="D32" s="59"/>
      <c r="E32" s="23">
        <f>3.29*C7*12</f>
        <v>24801.336000000003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19825.992</v>
      </c>
    </row>
    <row r="35" spans="1:5" ht="15">
      <c r="A35" s="57" t="s">
        <v>19</v>
      </c>
      <c r="B35" s="58"/>
      <c r="C35" s="58"/>
      <c r="D35" s="59"/>
      <c r="E35" s="23">
        <f>1.14*C7*12</f>
        <v>8593.776</v>
      </c>
    </row>
    <row r="36" spans="1:5" ht="15.75">
      <c r="A36" s="46" t="s">
        <v>44</v>
      </c>
      <c r="B36" s="47"/>
      <c r="C36" s="47"/>
      <c r="D36" s="48"/>
      <c r="E36" s="49">
        <f>3.41*C7*12-718.77</f>
        <v>24987.174000000003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3" spans="1:4" ht="25.5" customHeight="1">
      <c r="A43" s="45" t="s">
        <v>140</v>
      </c>
      <c r="B43" s="45"/>
      <c r="D43" s="44" t="s">
        <v>141</v>
      </c>
    </row>
    <row r="46" spans="1:4" ht="12.75">
      <c r="A46" s="45"/>
      <c r="B46" s="45"/>
      <c r="D46" s="44"/>
    </row>
  </sheetData>
  <sheetProtection/>
  <mergeCells count="32">
    <mergeCell ref="A1:E1"/>
    <mergeCell ref="A2:E2"/>
    <mergeCell ref="A3:E3"/>
    <mergeCell ref="A4:E4"/>
    <mergeCell ref="A6:B6"/>
    <mergeCell ref="A7:B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16:D17"/>
    <mergeCell ref="A28:D28"/>
    <mergeCell ref="A29:D29"/>
    <mergeCell ref="A30:D30"/>
    <mergeCell ref="A31:D31"/>
    <mergeCell ref="A32:D32"/>
    <mergeCell ref="A33:D33"/>
    <mergeCell ref="A43:B43"/>
    <mergeCell ref="A46:B46"/>
    <mergeCell ref="A34:D34"/>
    <mergeCell ref="A35:D35"/>
    <mergeCell ref="A36:D36"/>
    <mergeCell ref="E36:E37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2">
      <selection activeCell="E26" sqref="E2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63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64</v>
      </c>
      <c r="B6" s="75"/>
      <c r="C6" s="2"/>
      <c r="D6" s="2"/>
    </row>
    <row r="7" spans="1:4" ht="15" customHeight="1">
      <c r="A7" s="75" t="s">
        <v>56</v>
      </c>
      <c r="B7" s="75"/>
      <c r="C7" s="37">
        <v>630.3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13124.33</v>
      </c>
      <c r="C14" s="15">
        <v>171391.2</v>
      </c>
      <c r="D14" s="15">
        <v>169680.12</v>
      </c>
      <c r="E14" s="15">
        <f>B14+C14-D14</f>
        <v>14835.410000000003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171391.2</v>
      </c>
    </row>
    <row r="19" spans="1:5" ht="12.75">
      <c r="A19" s="63" t="s">
        <v>13</v>
      </c>
      <c r="B19" s="64"/>
      <c r="C19" s="64"/>
      <c r="D19" s="65"/>
      <c r="E19" s="27">
        <f>C14</f>
        <v>171391.2</v>
      </c>
    </row>
    <row r="20" spans="1:5" ht="24.75" customHeight="1">
      <c r="A20" s="66" t="s">
        <v>14</v>
      </c>
      <c r="B20" s="67"/>
      <c r="C20" s="67"/>
      <c r="D20" s="68"/>
      <c r="E20" s="26">
        <f>SUM(E24:E37)</f>
        <v>174299.406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5" ht="15">
      <c r="A24" s="57" t="s">
        <v>18</v>
      </c>
      <c r="B24" s="58"/>
      <c r="C24" s="58"/>
      <c r="D24" s="59"/>
      <c r="E24" s="23">
        <f>0.77*C7*12</f>
        <v>5823.972</v>
      </c>
    </row>
    <row r="25" spans="1:5" ht="15">
      <c r="A25" s="57" t="s">
        <v>19</v>
      </c>
      <c r="B25" s="58"/>
      <c r="C25" s="58"/>
      <c r="D25" s="59"/>
      <c r="E25" s="23">
        <f>0.33*C7*12</f>
        <v>2495.988</v>
      </c>
    </row>
    <row r="26" spans="1:5" ht="15">
      <c r="A26" s="57" t="s">
        <v>139</v>
      </c>
      <c r="B26" s="58"/>
      <c r="C26" s="58"/>
      <c r="D26" s="59"/>
      <c r="E26" s="23">
        <f>0.29*C7*12+555.92</f>
        <v>2749.3639999999996</v>
      </c>
    </row>
    <row r="27" spans="1:5" ht="15.75">
      <c r="A27" s="54" t="s">
        <v>35</v>
      </c>
      <c r="B27" s="55"/>
      <c r="C27" s="55"/>
      <c r="D27" s="56"/>
      <c r="E27" s="23"/>
    </row>
    <row r="28" spans="1:5" ht="15">
      <c r="A28" s="57" t="s">
        <v>138</v>
      </c>
      <c r="B28" s="58"/>
      <c r="C28" s="58"/>
      <c r="D28" s="59"/>
      <c r="E28" s="23">
        <v>6134.11</v>
      </c>
    </row>
    <row r="29" spans="1:5" ht="15.75">
      <c r="A29" s="54" t="s">
        <v>59</v>
      </c>
      <c r="B29" s="55"/>
      <c r="C29" s="55"/>
      <c r="D29" s="56"/>
      <c r="E29" s="23">
        <f>2.7*C7*12</f>
        <v>20421.72</v>
      </c>
    </row>
    <row r="30" spans="1:5" ht="15.75">
      <c r="A30" s="54" t="s">
        <v>38</v>
      </c>
      <c r="B30" s="55"/>
      <c r="C30" s="55"/>
      <c r="D30" s="56"/>
      <c r="E30" s="23"/>
    </row>
    <row r="31" spans="1:5" ht="15">
      <c r="A31" s="57" t="s">
        <v>18</v>
      </c>
      <c r="B31" s="58"/>
      <c r="C31" s="58"/>
      <c r="D31" s="59"/>
      <c r="E31" s="23">
        <f>7.6*C7*12</f>
        <v>57483.36</v>
      </c>
    </row>
    <row r="32" spans="1:5" ht="15">
      <c r="A32" s="57" t="s">
        <v>19</v>
      </c>
      <c r="B32" s="58"/>
      <c r="C32" s="58"/>
      <c r="D32" s="59"/>
      <c r="E32" s="23">
        <f>3.29*C7*12</f>
        <v>24884.244</v>
      </c>
    </row>
    <row r="33" spans="1:5" ht="15.75">
      <c r="A33" s="54" t="s">
        <v>39</v>
      </c>
      <c r="B33" s="55"/>
      <c r="C33" s="55"/>
      <c r="D33" s="56"/>
      <c r="E33" s="23"/>
    </row>
    <row r="34" spans="1:5" ht="15">
      <c r="A34" s="57" t="s">
        <v>18</v>
      </c>
      <c r="B34" s="58"/>
      <c r="C34" s="58"/>
      <c r="D34" s="59"/>
      <c r="E34" s="23">
        <f>2.63*C7*12</f>
        <v>19892.267999999996</v>
      </c>
    </row>
    <row r="35" spans="1:5" ht="15">
      <c r="A35" s="57" t="s">
        <v>19</v>
      </c>
      <c r="B35" s="58"/>
      <c r="C35" s="58"/>
      <c r="D35" s="59"/>
      <c r="E35" s="23">
        <f>1.14*C7*12</f>
        <v>8622.503999999999</v>
      </c>
    </row>
    <row r="36" spans="1:5" ht="15.75">
      <c r="A36" s="46" t="s">
        <v>44</v>
      </c>
      <c r="B36" s="47"/>
      <c r="C36" s="47"/>
      <c r="D36" s="48"/>
      <c r="E36" s="49">
        <f>3.41*C7*12</f>
        <v>25791.875999999997</v>
      </c>
    </row>
    <row r="37" spans="1:5" ht="28.5" customHeight="1">
      <c r="A37" s="51" t="s">
        <v>62</v>
      </c>
      <c r="B37" s="52"/>
      <c r="C37" s="52"/>
      <c r="D37" s="53"/>
      <c r="E37" s="50"/>
    </row>
    <row r="39" ht="12.75">
      <c r="E39" s="10"/>
    </row>
    <row r="43" spans="1:4" ht="25.5" customHeight="1">
      <c r="A43" s="45" t="s">
        <v>140</v>
      </c>
      <c r="B43" s="45"/>
      <c r="D43" s="44" t="s">
        <v>141</v>
      </c>
    </row>
    <row r="46" spans="1:4" ht="12.75">
      <c r="A46" s="45"/>
      <c r="B46" s="45"/>
      <c r="D46" s="44"/>
    </row>
  </sheetData>
  <sheetProtection/>
  <mergeCells count="32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27:D27"/>
    <mergeCell ref="A28:D28"/>
    <mergeCell ref="A23:D23"/>
    <mergeCell ref="A24:D24"/>
    <mergeCell ref="A25:D25"/>
    <mergeCell ref="A26:D26"/>
    <mergeCell ref="E36:E37"/>
    <mergeCell ref="A37:D37"/>
    <mergeCell ref="A29:D29"/>
    <mergeCell ref="A30:D30"/>
    <mergeCell ref="A31:D31"/>
    <mergeCell ref="A32:D32"/>
    <mergeCell ref="A43:B43"/>
    <mergeCell ref="A46:B46"/>
    <mergeCell ref="A33:D33"/>
    <mergeCell ref="A34:D34"/>
    <mergeCell ref="A35:D35"/>
    <mergeCell ref="A36:D36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F50"/>
  <sheetViews>
    <sheetView zoomScalePageLayoutView="0" workbookViewId="0" topLeftCell="A17">
      <selection activeCell="E43" sqref="E43: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60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61</v>
      </c>
      <c r="B6" s="75"/>
      <c r="C6" s="2"/>
      <c r="D6" s="2"/>
    </row>
    <row r="7" spans="1:4" ht="15" customHeight="1">
      <c r="A7" s="75" t="s">
        <v>56</v>
      </c>
      <c r="B7" s="75"/>
      <c r="C7" s="37">
        <v>2114.7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111535.2</v>
      </c>
      <c r="C14" s="15">
        <v>711974.03</v>
      </c>
      <c r="D14" s="15">
        <v>733620.7</v>
      </c>
      <c r="E14" s="15">
        <f>B14+C14-D14</f>
        <v>89888.53000000003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711974.03</v>
      </c>
    </row>
    <row r="19" spans="1:5" ht="12.75">
      <c r="A19" s="63" t="s">
        <v>13</v>
      </c>
      <c r="B19" s="64"/>
      <c r="C19" s="64"/>
      <c r="D19" s="65"/>
      <c r="E19" s="27">
        <f>C14</f>
        <v>711974.03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724054.996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6" ht="15">
      <c r="A24" s="57" t="s">
        <v>18</v>
      </c>
      <c r="B24" s="58"/>
      <c r="C24" s="58"/>
      <c r="D24" s="59"/>
      <c r="E24" s="40">
        <f>1.74*C7*12+2000</f>
        <v>46154.935999999994</v>
      </c>
      <c r="F24" s="35"/>
    </row>
    <row r="25" spans="1:6" ht="15">
      <c r="A25" s="57" t="s">
        <v>19</v>
      </c>
      <c r="B25" s="58"/>
      <c r="C25" s="58"/>
      <c r="D25" s="59"/>
      <c r="E25" s="40">
        <f>0.75*C7*12+604</f>
        <v>19636.3</v>
      </c>
      <c r="F25" s="35"/>
    </row>
    <row r="26" spans="1:6" ht="15">
      <c r="A26" s="57" t="s">
        <v>20</v>
      </c>
      <c r="B26" s="58"/>
      <c r="C26" s="58"/>
      <c r="D26" s="59"/>
      <c r="E26" s="40">
        <f>0.29*C7*12+300</f>
        <v>7659.155999999999</v>
      </c>
      <c r="F26" s="35"/>
    </row>
    <row r="27" spans="1:6" ht="15.75">
      <c r="A27" s="54" t="s">
        <v>21</v>
      </c>
      <c r="B27" s="55"/>
      <c r="C27" s="55"/>
      <c r="D27" s="56"/>
      <c r="E27" s="40"/>
      <c r="F27" s="35"/>
    </row>
    <row r="28" spans="1:6" ht="15">
      <c r="A28" s="57" t="s">
        <v>18</v>
      </c>
      <c r="B28" s="58"/>
      <c r="C28" s="58"/>
      <c r="D28" s="59"/>
      <c r="E28" s="40">
        <f>1.81*C7*12+2000</f>
        <v>47931.284</v>
      </c>
      <c r="F28" s="35"/>
    </row>
    <row r="29" spans="1:6" ht="15">
      <c r="A29" s="57" t="s">
        <v>19</v>
      </c>
      <c r="B29" s="58"/>
      <c r="C29" s="58"/>
      <c r="D29" s="59"/>
      <c r="E29" s="40">
        <f>0.55*C7*12+604</f>
        <v>14561.02</v>
      </c>
      <c r="F29" s="35"/>
    </row>
    <row r="30" spans="1:6" ht="15">
      <c r="A30" s="57" t="s">
        <v>20</v>
      </c>
      <c r="B30" s="58"/>
      <c r="C30" s="58"/>
      <c r="D30" s="59"/>
      <c r="E30" s="40">
        <f>0.29*C7*12+350.39</f>
        <v>7709.545999999999</v>
      </c>
      <c r="F30" s="35"/>
    </row>
    <row r="31" spans="1:6" ht="15.75">
      <c r="A31" s="54" t="s">
        <v>35</v>
      </c>
      <c r="B31" s="55"/>
      <c r="C31" s="55"/>
      <c r="D31" s="56"/>
      <c r="E31" s="40"/>
      <c r="F31" s="35"/>
    </row>
    <row r="32" spans="1:6" ht="15">
      <c r="A32" s="57" t="s">
        <v>43</v>
      </c>
      <c r="B32" s="58"/>
      <c r="C32" s="58"/>
      <c r="D32" s="59"/>
      <c r="E32" s="40">
        <f>0.3*C7*12+2500</f>
        <v>10112.92</v>
      </c>
      <c r="F32" s="35"/>
    </row>
    <row r="33" spans="1:6" ht="15">
      <c r="A33" s="57" t="s">
        <v>33</v>
      </c>
      <c r="B33" s="58"/>
      <c r="C33" s="58"/>
      <c r="D33" s="59"/>
      <c r="E33" s="40">
        <f>0.17*C7*12</f>
        <v>4313.987999999999</v>
      </c>
      <c r="F33" s="35"/>
    </row>
    <row r="34" spans="1:6" ht="15">
      <c r="A34" s="57" t="s">
        <v>34</v>
      </c>
      <c r="B34" s="58"/>
      <c r="C34" s="58"/>
      <c r="D34" s="59"/>
      <c r="E34" s="40">
        <f>0.26*C7*12</f>
        <v>6597.864</v>
      </c>
      <c r="F34" s="35"/>
    </row>
    <row r="35" spans="1:6" ht="15.75">
      <c r="A35" s="54" t="s">
        <v>59</v>
      </c>
      <c r="B35" s="55"/>
      <c r="C35" s="55"/>
      <c r="D35" s="56"/>
      <c r="E35" s="40">
        <f>2.7*C7*12+1000</f>
        <v>69516.28</v>
      </c>
      <c r="F35" s="35"/>
    </row>
    <row r="36" spans="1:6" ht="15.75">
      <c r="A36" s="54" t="s">
        <v>37</v>
      </c>
      <c r="B36" s="55"/>
      <c r="C36" s="55"/>
      <c r="D36" s="56"/>
      <c r="E36" s="40">
        <f>2.3*C7*12+1000</f>
        <v>59365.719999999994</v>
      </c>
      <c r="F36" s="35"/>
    </row>
    <row r="37" spans="1:6" ht="15.75">
      <c r="A37" s="54" t="s">
        <v>38</v>
      </c>
      <c r="B37" s="55"/>
      <c r="C37" s="55"/>
      <c r="D37" s="56"/>
      <c r="E37" s="40"/>
      <c r="F37" s="35"/>
    </row>
    <row r="38" spans="1:6" ht="15">
      <c r="A38" s="57" t="s">
        <v>18</v>
      </c>
      <c r="B38" s="58"/>
      <c r="C38" s="58"/>
      <c r="D38" s="59"/>
      <c r="E38" s="40">
        <f>7.91*C7*12</f>
        <v>200727.32399999996</v>
      </c>
      <c r="F38" s="35"/>
    </row>
    <row r="39" spans="1:6" ht="15">
      <c r="A39" s="57" t="s">
        <v>19</v>
      </c>
      <c r="B39" s="58"/>
      <c r="C39" s="58"/>
      <c r="D39" s="59"/>
      <c r="E39" s="40">
        <f>2.39*C7*12</f>
        <v>60649.596</v>
      </c>
      <c r="F39" s="35"/>
    </row>
    <row r="40" spans="1:6" ht="15.75">
      <c r="A40" s="54" t="s">
        <v>39</v>
      </c>
      <c r="B40" s="55"/>
      <c r="C40" s="55"/>
      <c r="D40" s="56"/>
      <c r="E40" s="40"/>
      <c r="F40" s="35"/>
    </row>
    <row r="41" spans="1:6" ht="15">
      <c r="A41" s="57" t="s">
        <v>18</v>
      </c>
      <c r="B41" s="58"/>
      <c r="C41" s="58"/>
      <c r="D41" s="59"/>
      <c r="E41" s="40">
        <f>2.06*C7*12+1000</f>
        <v>53275.384000000005</v>
      </c>
      <c r="F41" s="35"/>
    </row>
    <row r="42" spans="1:6" ht="15">
      <c r="A42" s="57" t="s">
        <v>19</v>
      </c>
      <c r="B42" s="58"/>
      <c r="C42" s="58"/>
      <c r="D42" s="59"/>
      <c r="E42" s="40">
        <f>0.89*C7*12+302</f>
        <v>22886.996</v>
      </c>
      <c r="F42" s="35"/>
    </row>
    <row r="43" spans="1:6" ht="15.75">
      <c r="A43" s="46" t="s">
        <v>44</v>
      </c>
      <c r="B43" s="47"/>
      <c r="C43" s="47"/>
      <c r="D43" s="48"/>
      <c r="E43" s="84">
        <f>3.63*C7*12+840.35</f>
        <v>92956.682</v>
      </c>
      <c r="F43" s="35"/>
    </row>
    <row r="44" spans="1:6" ht="28.5" customHeight="1">
      <c r="A44" s="51" t="s">
        <v>62</v>
      </c>
      <c r="B44" s="52"/>
      <c r="C44" s="52"/>
      <c r="D44" s="53"/>
      <c r="E44" s="85"/>
      <c r="F44" s="35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9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7:B47"/>
    <mergeCell ref="A50:B50"/>
    <mergeCell ref="A41:D41"/>
    <mergeCell ref="A42:D42"/>
    <mergeCell ref="A43:D43"/>
    <mergeCell ref="E43:E44"/>
    <mergeCell ref="A44:D4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113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114</v>
      </c>
      <c r="B6" s="75"/>
      <c r="C6" s="2"/>
      <c r="D6" s="2"/>
    </row>
    <row r="7" spans="1:4" ht="15" customHeight="1">
      <c r="A7" s="75" t="s">
        <v>56</v>
      </c>
      <c r="B7" s="75"/>
      <c r="C7" s="37">
        <v>707.6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73566.35</v>
      </c>
      <c r="C14" s="15">
        <v>148600.68</v>
      </c>
      <c r="D14" s="15">
        <v>160203.19</v>
      </c>
      <c r="E14" s="15">
        <f>B14+C14-D14</f>
        <v>61963.84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148600.68</v>
      </c>
    </row>
    <row r="19" spans="1:5" ht="12.75">
      <c r="A19" s="63" t="s">
        <v>13</v>
      </c>
      <c r="B19" s="64"/>
      <c r="C19" s="64"/>
      <c r="D19" s="65"/>
      <c r="E19" s="27">
        <f>C14</f>
        <v>148600.68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151122.17982400002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2207.712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5318.44</v>
      </c>
    </row>
    <row r="26" spans="1:5" ht="15.75">
      <c r="A26" s="54" t="s">
        <v>99</v>
      </c>
      <c r="B26" s="55"/>
      <c r="C26" s="55"/>
      <c r="D26" s="56"/>
      <c r="E26" s="23">
        <f>0.8*C7*12*0.992</f>
        <v>6738.616320000001</v>
      </c>
    </row>
    <row r="27" spans="1:5" ht="15.75">
      <c r="A27" s="54" t="s">
        <v>59</v>
      </c>
      <c r="B27" s="55"/>
      <c r="C27" s="55"/>
      <c r="D27" s="56"/>
      <c r="E27" s="23">
        <f>2.7*C7*12*0.992-2000</f>
        <v>20742.83008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8.18*C7*12*0.992-3000</f>
        <v>65902.351872</v>
      </c>
    </row>
    <row r="30" spans="1:5" ht="15">
      <c r="A30" s="57" t="s">
        <v>19</v>
      </c>
      <c r="B30" s="58"/>
      <c r="C30" s="58"/>
      <c r="D30" s="59"/>
      <c r="E30" s="23">
        <f>2.47*C7*12*0.992-906</f>
        <v>19899.477888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v>8879.18</v>
      </c>
    </row>
    <row r="33" spans="1:5" ht="15">
      <c r="A33" s="57" t="s">
        <v>19</v>
      </c>
      <c r="B33" s="58"/>
      <c r="C33" s="58"/>
      <c r="D33" s="59"/>
      <c r="E33" s="23">
        <v>2681.51</v>
      </c>
    </row>
    <row r="34" spans="1:5" ht="15.75">
      <c r="A34" s="46" t="s">
        <v>44</v>
      </c>
      <c r="B34" s="47"/>
      <c r="C34" s="47"/>
      <c r="D34" s="48"/>
      <c r="E34" s="49">
        <f>2.41*C7*12*0.992-1548.02</f>
        <v>18752.061664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2" spans="1:4" ht="25.5" customHeight="1">
      <c r="A42" s="45" t="s">
        <v>140</v>
      </c>
      <c r="B42" s="45"/>
      <c r="D42" s="44" t="s">
        <v>141</v>
      </c>
    </row>
    <row r="45" spans="1:4" ht="12.75">
      <c r="A45" s="45"/>
      <c r="B45" s="45"/>
      <c r="D45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42:B42"/>
    <mergeCell ref="A45:B45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8">
      <selection activeCell="E31" sqref="E31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7" max="7" width="9.625" style="0" bestFit="1" customWidth="1"/>
    <col min="10" max="10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121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122</v>
      </c>
      <c r="B6" s="75"/>
      <c r="C6" s="2"/>
      <c r="D6" s="2"/>
    </row>
    <row r="7" spans="1:4" ht="15" customHeight="1">
      <c r="A7" s="75" t="s">
        <v>56</v>
      </c>
      <c r="B7" s="75"/>
      <c r="C7" s="39">
        <v>1004.2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35924.57</v>
      </c>
      <c r="C14" s="15">
        <v>246913.08</v>
      </c>
      <c r="D14" s="15">
        <v>246921.67</v>
      </c>
      <c r="E14" s="15">
        <f>B14+C14-D14</f>
        <v>35915.97999999995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246913.08</v>
      </c>
    </row>
    <row r="19" spans="1:5" ht="12.75">
      <c r="A19" s="63" t="s">
        <v>13</v>
      </c>
      <c r="B19" s="64"/>
      <c r="C19" s="64"/>
      <c r="D19" s="65"/>
      <c r="E19" s="27">
        <f>C14</f>
        <v>246913.08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251102.76600000003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7" ht="18" customHeight="1">
      <c r="A23" s="54" t="s">
        <v>17</v>
      </c>
      <c r="B23" s="55"/>
      <c r="C23" s="55"/>
      <c r="D23" s="56"/>
      <c r="E23" s="28"/>
      <c r="F23" s="25"/>
      <c r="G23" s="25"/>
    </row>
    <row r="24" spans="1:5" ht="15">
      <c r="A24" s="57" t="s">
        <v>18</v>
      </c>
      <c r="B24" s="58"/>
      <c r="C24" s="58"/>
      <c r="D24" s="59"/>
      <c r="E24" s="23">
        <f>1.19*C7*12</f>
        <v>14339.976</v>
      </c>
    </row>
    <row r="25" spans="1:5" ht="15">
      <c r="A25" s="57" t="s">
        <v>19</v>
      </c>
      <c r="B25" s="58"/>
      <c r="C25" s="58"/>
      <c r="D25" s="59"/>
      <c r="E25" s="23">
        <f>0.36*C7*12</f>
        <v>4338.144</v>
      </c>
    </row>
    <row r="26" spans="1:5" ht="15">
      <c r="A26" s="57" t="s">
        <v>20</v>
      </c>
      <c r="B26" s="58"/>
      <c r="C26" s="58"/>
      <c r="D26" s="59"/>
      <c r="E26" s="23">
        <f>0.29*C7*12</f>
        <v>3494.616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1.73*C7*12</f>
        <v>20847.192000000003</v>
      </c>
    </row>
    <row r="29" spans="1:5" ht="15">
      <c r="A29" s="57" t="s">
        <v>19</v>
      </c>
      <c r="B29" s="58"/>
      <c r="C29" s="58"/>
      <c r="D29" s="59"/>
      <c r="E29" s="23">
        <f>0.52*C7*12</f>
        <v>6266.2080000000005</v>
      </c>
    </row>
    <row r="30" spans="1:5" ht="15">
      <c r="A30" s="57" t="s">
        <v>20</v>
      </c>
      <c r="B30" s="58"/>
      <c r="C30" s="58"/>
      <c r="D30" s="59"/>
      <c r="E30" s="23">
        <f>0.03*C7*12+4980.92-790.85</f>
        <v>4551.581999999999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33</v>
      </c>
      <c r="B32" s="58"/>
      <c r="C32" s="58"/>
      <c r="D32" s="59"/>
      <c r="E32" s="23">
        <f>0.17*C7*12</f>
        <v>2048.568</v>
      </c>
    </row>
    <row r="33" spans="1:5" ht="15">
      <c r="A33" s="57" t="s">
        <v>34</v>
      </c>
      <c r="B33" s="58"/>
      <c r="C33" s="58"/>
      <c r="D33" s="59"/>
      <c r="E33" s="23">
        <f>0.38*C7*12</f>
        <v>4579.152</v>
      </c>
    </row>
    <row r="34" spans="1:5" ht="15.75">
      <c r="A34" s="54" t="s">
        <v>100</v>
      </c>
      <c r="B34" s="55"/>
      <c r="C34" s="55"/>
      <c r="D34" s="56"/>
      <c r="E34" s="23">
        <f>0.18*C7*12</f>
        <v>2169.072</v>
      </c>
    </row>
    <row r="35" spans="1:5" ht="15.75">
      <c r="A35" s="54" t="s">
        <v>59</v>
      </c>
      <c r="B35" s="55"/>
      <c r="C35" s="55"/>
      <c r="D35" s="56"/>
      <c r="E35" s="23">
        <f>2.63*C7*12</f>
        <v>31692.551999999996</v>
      </c>
    </row>
    <row r="36" spans="1:5" ht="15.75">
      <c r="A36" s="54" t="s">
        <v>37</v>
      </c>
      <c r="B36" s="55"/>
      <c r="C36" s="55"/>
      <c r="D36" s="56"/>
      <c r="E36" s="23">
        <f>1.78*C7*12</f>
        <v>21449.712</v>
      </c>
    </row>
    <row r="37" spans="1:5" ht="15.75">
      <c r="A37" s="54" t="s">
        <v>38</v>
      </c>
      <c r="B37" s="55"/>
      <c r="C37" s="55"/>
      <c r="D37" s="56"/>
      <c r="E37" s="23"/>
    </row>
    <row r="38" spans="1:5" ht="15">
      <c r="A38" s="57" t="s">
        <v>18</v>
      </c>
      <c r="B38" s="58"/>
      <c r="C38" s="58"/>
      <c r="D38" s="59"/>
      <c r="E38" s="23">
        <f>5.11*C7*12</f>
        <v>61577.54400000001</v>
      </c>
    </row>
    <row r="39" spans="1:5" ht="15">
      <c r="A39" s="57" t="s">
        <v>19</v>
      </c>
      <c r="B39" s="58"/>
      <c r="C39" s="58"/>
      <c r="D39" s="59"/>
      <c r="E39" s="23">
        <f>1.54*C7*12</f>
        <v>18557.616</v>
      </c>
    </row>
    <row r="40" spans="1:5" ht="15.75">
      <c r="A40" s="54" t="s">
        <v>39</v>
      </c>
      <c r="B40" s="55"/>
      <c r="C40" s="55"/>
      <c r="D40" s="56"/>
      <c r="E40" s="23"/>
    </row>
    <row r="41" spans="1:5" ht="15">
      <c r="A41" s="57" t="s">
        <v>18</v>
      </c>
      <c r="B41" s="58"/>
      <c r="C41" s="58"/>
      <c r="D41" s="59"/>
      <c r="E41" s="23">
        <f>1.5*C7*12</f>
        <v>18075.600000000002</v>
      </c>
    </row>
    <row r="42" spans="1:5" ht="15">
      <c r="A42" s="57" t="s">
        <v>19</v>
      </c>
      <c r="B42" s="58"/>
      <c r="C42" s="58"/>
      <c r="D42" s="59"/>
      <c r="E42" s="23">
        <f>0.45*C7*12</f>
        <v>5422.68</v>
      </c>
    </row>
    <row r="43" spans="1:5" ht="15.75">
      <c r="A43" s="46" t="s">
        <v>44</v>
      </c>
      <c r="B43" s="47"/>
      <c r="C43" s="47"/>
      <c r="D43" s="48"/>
      <c r="E43" s="49">
        <f>2.63*C7*12</f>
        <v>31692.551999999996</v>
      </c>
    </row>
    <row r="44" spans="1:5" ht="28.5" customHeight="1">
      <c r="A44" s="51" t="s">
        <v>62</v>
      </c>
      <c r="B44" s="52"/>
      <c r="C44" s="52"/>
      <c r="D44" s="53"/>
      <c r="E44" s="5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9">
    <mergeCell ref="A40:D40"/>
    <mergeCell ref="A41:D41"/>
    <mergeCell ref="A42:D42"/>
    <mergeCell ref="A43:D43"/>
    <mergeCell ref="E43:E44"/>
    <mergeCell ref="A44:D44"/>
    <mergeCell ref="A33:D33"/>
    <mergeCell ref="A35:D35"/>
    <mergeCell ref="A36:D36"/>
    <mergeCell ref="A37:D37"/>
    <mergeCell ref="A38:D38"/>
    <mergeCell ref="A39:D39"/>
    <mergeCell ref="A34:D34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7:B47"/>
    <mergeCell ref="A50:B50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7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7" max="7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22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32</v>
      </c>
      <c r="B6" s="75"/>
      <c r="C6" s="2"/>
      <c r="D6" s="2"/>
    </row>
    <row r="7" spans="1:4" ht="15" customHeight="1">
      <c r="A7" s="75" t="s">
        <v>56</v>
      </c>
      <c r="B7" s="75"/>
      <c r="C7" s="37">
        <v>3025.5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131254.46</v>
      </c>
      <c r="C14" s="15">
        <v>735222.49</v>
      </c>
      <c r="D14" s="15">
        <v>759376.16</v>
      </c>
      <c r="E14" s="15">
        <f>B14+C14-D14</f>
        <v>107100.78999999992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735222.49</v>
      </c>
    </row>
    <row r="19" spans="1:5" ht="12.75">
      <c r="A19" s="63" t="s">
        <v>13</v>
      </c>
      <c r="B19" s="64"/>
      <c r="C19" s="64"/>
      <c r="D19" s="65"/>
      <c r="E19" s="27">
        <f>C14</f>
        <v>735222.49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747697.9500000001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7" ht="18" customHeight="1">
      <c r="A23" s="54" t="s">
        <v>17</v>
      </c>
      <c r="B23" s="55"/>
      <c r="C23" s="55"/>
      <c r="D23" s="56"/>
      <c r="E23" s="28"/>
      <c r="F23" s="25"/>
      <c r="G23" s="25"/>
    </row>
    <row r="24" spans="1:6" ht="15">
      <c r="A24" s="57" t="s">
        <v>18</v>
      </c>
      <c r="B24" s="58"/>
      <c r="C24" s="58"/>
      <c r="D24" s="59"/>
      <c r="E24" s="41">
        <f>2.9*C7*12</f>
        <v>105287.4</v>
      </c>
      <c r="F24" s="35"/>
    </row>
    <row r="25" spans="1:6" ht="15">
      <c r="A25" s="57" t="s">
        <v>19</v>
      </c>
      <c r="B25" s="58"/>
      <c r="C25" s="58"/>
      <c r="D25" s="59"/>
      <c r="E25" s="41">
        <f>0.87*C7*12</f>
        <v>31586.22</v>
      </c>
      <c r="F25" s="35"/>
    </row>
    <row r="26" spans="1:6" ht="15">
      <c r="A26" s="57" t="s">
        <v>20</v>
      </c>
      <c r="B26" s="58"/>
      <c r="C26" s="58"/>
      <c r="D26" s="59"/>
      <c r="E26" s="41">
        <f>0.26*C7*12</f>
        <v>9439.56</v>
      </c>
      <c r="F26" s="35"/>
    </row>
    <row r="27" spans="1:6" ht="15.75">
      <c r="A27" s="54" t="s">
        <v>21</v>
      </c>
      <c r="B27" s="55"/>
      <c r="C27" s="55"/>
      <c r="D27" s="56"/>
      <c r="E27" s="41"/>
      <c r="F27" s="35"/>
    </row>
    <row r="28" spans="1:6" ht="15">
      <c r="A28" s="57" t="s">
        <v>18</v>
      </c>
      <c r="B28" s="58"/>
      <c r="C28" s="58"/>
      <c r="D28" s="59"/>
      <c r="E28" s="41">
        <f>2.67*C7*12</f>
        <v>96937.02</v>
      </c>
      <c r="F28" s="35"/>
    </row>
    <row r="29" spans="1:6" ht="15">
      <c r="A29" s="57" t="s">
        <v>19</v>
      </c>
      <c r="B29" s="58"/>
      <c r="C29" s="58"/>
      <c r="D29" s="59"/>
      <c r="E29" s="41">
        <f>0.81*C7*12</f>
        <v>29407.86</v>
      </c>
      <c r="F29" s="35"/>
    </row>
    <row r="30" spans="1:6" ht="15">
      <c r="A30" s="57" t="s">
        <v>20</v>
      </c>
      <c r="B30" s="58"/>
      <c r="C30" s="58"/>
      <c r="D30" s="59"/>
      <c r="E30" s="41">
        <f>0.04*C7*12+4530.1</f>
        <v>5982.34</v>
      </c>
      <c r="F30" s="35"/>
    </row>
    <row r="31" spans="1:6" ht="15.75">
      <c r="A31" s="54" t="s">
        <v>35</v>
      </c>
      <c r="B31" s="55"/>
      <c r="C31" s="55"/>
      <c r="D31" s="56"/>
      <c r="E31" s="41"/>
      <c r="F31" s="35"/>
    </row>
    <row r="32" spans="1:6" ht="15">
      <c r="A32" s="57" t="s">
        <v>43</v>
      </c>
      <c r="B32" s="58"/>
      <c r="C32" s="58"/>
      <c r="D32" s="59"/>
      <c r="E32" s="41">
        <f>0.3*C7*12</f>
        <v>10891.8</v>
      </c>
      <c r="F32" s="35"/>
    </row>
    <row r="33" spans="1:6" ht="15">
      <c r="A33" s="57" t="s">
        <v>33</v>
      </c>
      <c r="B33" s="58"/>
      <c r="C33" s="58"/>
      <c r="D33" s="59"/>
      <c r="E33" s="41">
        <f>0.06*C7*12+3000</f>
        <v>5178.360000000001</v>
      </c>
      <c r="F33" s="35"/>
    </row>
    <row r="34" spans="1:6" ht="15">
      <c r="A34" s="57" t="s">
        <v>34</v>
      </c>
      <c r="B34" s="58"/>
      <c r="C34" s="58"/>
      <c r="D34" s="59"/>
      <c r="E34" s="41">
        <f>0.38*C7*12</f>
        <v>13796.28</v>
      </c>
      <c r="F34" s="35"/>
    </row>
    <row r="35" spans="1:6" ht="15.75">
      <c r="A35" s="54" t="s">
        <v>59</v>
      </c>
      <c r="B35" s="55"/>
      <c r="C35" s="55"/>
      <c r="D35" s="56"/>
      <c r="E35" s="41">
        <f>2.3*C7*12</f>
        <v>83503.79999999999</v>
      </c>
      <c r="F35" s="35"/>
    </row>
    <row r="36" spans="1:6" ht="15.75">
      <c r="A36" s="54" t="s">
        <v>37</v>
      </c>
      <c r="B36" s="55"/>
      <c r="C36" s="55"/>
      <c r="D36" s="56"/>
      <c r="E36" s="41">
        <f>1.2*C7*12</f>
        <v>43567.2</v>
      </c>
      <c r="F36" s="35"/>
    </row>
    <row r="37" spans="1:6" ht="15.75">
      <c r="A37" s="54" t="s">
        <v>38</v>
      </c>
      <c r="B37" s="55"/>
      <c r="C37" s="55"/>
      <c r="D37" s="56"/>
      <c r="E37" s="41"/>
      <c r="F37" s="35"/>
    </row>
    <row r="38" spans="1:6" ht="15">
      <c r="A38" s="57" t="s">
        <v>18</v>
      </c>
      <c r="B38" s="58"/>
      <c r="C38" s="58"/>
      <c r="D38" s="59"/>
      <c r="E38" s="41">
        <f>3.83*C7*12</f>
        <v>139051.98</v>
      </c>
      <c r="F38" s="35"/>
    </row>
    <row r="39" spans="1:6" ht="15">
      <c r="A39" s="57" t="s">
        <v>19</v>
      </c>
      <c r="B39" s="58"/>
      <c r="C39" s="58"/>
      <c r="D39" s="59"/>
      <c r="E39" s="41">
        <f>1.16*C7*12</f>
        <v>42114.96</v>
      </c>
      <c r="F39" s="35"/>
    </row>
    <row r="40" spans="1:6" ht="15.75">
      <c r="A40" s="54" t="s">
        <v>39</v>
      </c>
      <c r="B40" s="55"/>
      <c r="C40" s="55"/>
      <c r="D40" s="56"/>
      <c r="E40" s="41"/>
      <c r="F40" s="35"/>
    </row>
    <row r="41" spans="1:6" ht="15">
      <c r="A41" s="57" t="s">
        <v>18</v>
      </c>
      <c r="B41" s="58"/>
      <c r="C41" s="58"/>
      <c r="D41" s="59"/>
      <c r="E41" s="41">
        <f>1.5*C7*12</f>
        <v>54459</v>
      </c>
      <c r="F41" s="35"/>
    </row>
    <row r="42" spans="1:6" ht="15">
      <c r="A42" s="57" t="s">
        <v>19</v>
      </c>
      <c r="B42" s="58"/>
      <c r="C42" s="58"/>
      <c r="D42" s="59"/>
      <c r="E42" s="41">
        <f>0.46*C7*12</f>
        <v>16700.760000000002</v>
      </c>
      <c r="F42" s="35"/>
    </row>
    <row r="43" spans="1:6" ht="15.75">
      <c r="A43" s="46" t="s">
        <v>44</v>
      </c>
      <c r="B43" s="47"/>
      <c r="C43" s="47"/>
      <c r="D43" s="48"/>
      <c r="E43" s="86">
        <f>1.61*C7*12+1340.75</f>
        <v>59793.41</v>
      </c>
      <c r="F43" s="35"/>
    </row>
    <row r="44" spans="1:6" ht="19.5" customHeight="1">
      <c r="A44" s="31" t="s">
        <v>45</v>
      </c>
      <c r="B44" s="29"/>
      <c r="C44" s="29"/>
      <c r="D44" s="30"/>
      <c r="E44" s="87"/>
      <c r="F44" s="35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2:D42"/>
    <mergeCell ref="E43:E44"/>
    <mergeCell ref="A43:D43"/>
    <mergeCell ref="A37:D37"/>
    <mergeCell ref="A38:D38"/>
    <mergeCell ref="A33:D33"/>
    <mergeCell ref="A34:D34"/>
    <mergeCell ref="A36:D36"/>
    <mergeCell ref="A39:D39"/>
    <mergeCell ref="A40:D40"/>
    <mergeCell ref="E21:E22"/>
    <mergeCell ref="A41:D41"/>
    <mergeCell ref="A35:D35"/>
    <mergeCell ref="A28:D28"/>
    <mergeCell ref="A29:D29"/>
    <mergeCell ref="A30:D30"/>
    <mergeCell ref="A31:D31"/>
    <mergeCell ref="A32:D32"/>
    <mergeCell ref="A1:E1"/>
    <mergeCell ref="E16:E17"/>
    <mergeCell ref="A6:B6"/>
    <mergeCell ref="A16:D17"/>
    <mergeCell ref="A24:D24"/>
    <mergeCell ref="A25:D25"/>
    <mergeCell ref="A22:D22"/>
    <mergeCell ref="A2:E2"/>
    <mergeCell ref="A3:E3"/>
    <mergeCell ref="A4:E4"/>
    <mergeCell ref="A48:B48"/>
    <mergeCell ref="A51:B51"/>
    <mergeCell ref="A7:B7"/>
    <mergeCell ref="A18:D18"/>
    <mergeCell ref="A20:D20"/>
    <mergeCell ref="A21:D21"/>
    <mergeCell ref="A19:D19"/>
    <mergeCell ref="A26:D26"/>
    <mergeCell ref="A27:D27"/>
    <mergeCell ref="A23:D2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7">
      <selection activeCell="E43" sqref="E43: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7" max="7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32</v>
      </c>
      <c r="B6" s="75"/>
      <c r="C6" s="2"/>
      <c r="D6" s="2"/>
    </row>
    <row r="7" spans="1:4" ht="15" customHeight="1">
      <c r="A7" s="75" t="s">
        <v>56</v>
      </c>
      <c r="B7" s="75"/>
      <c r="C7" s="37">
        <v>3025.5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136807.41</v>
      </c>
      <c r="C14" s="15">
        <v>738828.24</v>
      </c>
      <c r="D14" s="15">
        <v>777038.02</v>
      </c>
      <c r="E14" s="15">
        <f>B14+C14-D14</f>
        <v>98597.63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738828.24</v>
      </c>
    </row>
    <row r="19" spans="1:5" ht="12.75">
      <c r="A19" s="63" t="s">
        <v>13</v>
      </c>
      <c r="B19" s="64"/>
      <c r="C19" s="64"/>
      <c r="D19" s="65"/>
      <c r="E19" s="27">
        <f>C14</f>
        <v>738828.24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751364.88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7" ht="18" customHeight="1">
      <c r="A23" s="54" t="s">
        <v>17</v>
      </c>
      <c r="B23" s="55"/>
      <c r="C23" s="55"/>
      <c r="D23" s="56"/>
      <c r="E23" s="28"/>
      <c r="F23" s="25"/>
      <c r="G23" s="25"/>
    </row>
    <row r="24" spans="1:6" ht="15">
      <c r="A24" s="57" t="s">
        <v>18</v>
      </c>
      <c r="B24" s="58"/>
      <c r="C24" s="58"/>
      <c r="D24" s="59"/>
      <c r="E24" s="41">
        <f>2.9*C7*12</f>
        <v>105287.4</v>
      </c>
      <c r="F24" s="35"/>
    </row>
    <row r="25" spans="1:6" ht="15">
      <c r="A25" s="57" t="s">
        <v>19</v>
      </c>
      <c r="B25" s="58"/>
      <c r="C25" s="58"/>
      <c r="D25" s="59"/>
      <c r="E25" s="41">
        <f>0.87*C7*12</f>
        <v>31586.22</v>
      </c>
      <c r="F25" s="35"/>
    </row>
    <row r="26" spans="1:6" ht="15">
      <c r="A26" s="57" t="s">
        <v>20</v>
      </c>
      <c r="B26" s="58"/>
      <c r="C26" s="58"/>
      <c r="D26" s="59"/>
      <c r="E26" s="41">
        <f>0.26*C7*12</f>
        <v>9439.56</v>
      </c>
      <c r="F26" s="35"/>
    </row>
    <row r="27" spans="1:6" ht="15.75">
      <c r="A27" s="54" t="s">
        <v>21</v>
      </c>
      <c r="B27" s="55"/>
      <c r="C27" s="55"/>
      <c r="D27" s="56"/>
      <c r="E27" s="41"/>
      <c r="F27" s="35"/>
    </row>
    <row r="28" spans="1:6" ht="15">
      <c r="A28" s="57" t="s">
        <v>18</v>
      </c>
      <c r="B28" s="58"/>
      <c r="C28" s="58"/>
      <c r="D28" s="59"/>
      <c r="E28" s="41">
        <f>2.67*C7*12</f>
        <v>96937.02</v>
      </c>
      <c r="F28" s="35"/>
    </row>
    <row r="29" spans="1:6" ht="15">
      <c r="A29" s="57" t="s">
        <v>19</v>
      </c>
      <c r="B29" s="58"/>
      <c r="C29" s="58"/>
      <c r="D29" s="59"/>
      <c r="E29" s="41">
        <f>0.81*C7*12</f>
        <v>29407.86</v>
      </c>
      <c r="F29" s="35"/>
    </row>
    <row r="30" spans="1:6" ht="15">
      <c r="A30" s="57" t="s">
        <v>20</v>
      </c>
      <c r="B30" s="58"/>
      <c r="C30" s="58"/>
      <c r="D30" s="59"/>
      <c r="E30" s="41">
        <f>0.04*C7*12+4659.15</f>
        <v>6111.389999999999</v>
      </c>
      <c r="F30" s="35"/>
    </row>
    <row r="31" spans="1:6" ht="15.75">
      <c r="A31" s="54" t="s">
        <v>35</v>
      </c>
      <c r="B31" s="55"/>
      <c r="C31" s="55"/>
      <c r="D31" s="56"/>
      <c r="E31" s="41"/>
      <c r="F31" s="35"/>
    </row>
    <row r="32" spans="1:6" ht="15">
      <c r="A32" s="57" t="s">
        <v>43</v>
      </c>
      <c r="B32" s="58"/>
      <c r="C32" s="58"/>
      <c r="D32" s="59"/>
      <c r="E32" s="41">
        <f>0.3*C7*12</f>
        <v>10891.8</v>
      </c>
      <c r="F32" s="35"/>
    </row>
    <row r="33" spans="1:6" ht="15">
      <c r="A33" s="57" t="s">
        <v>33</v>
      </c>
      <c r="B33" s="58"/>
      <c r="C33" s="58"/>
      <c r="D33" s="59"/>
      <c r="E33" s="41">
        <f>0.06*C7*12+3000</f>
        <v>5178.360000000001</v>
      </c>
      <c r="F33" s="35"/>
    </row>
    <row r="34" spans="1:6" ht="15">
      <c r="A34" s="57" t="s">
        <v>34</v>
      </c>
      <c r="B34" s="58"/>
      <c r="C34" s="58"/>
      <c r="D34" s="59"/>
      <c r="E34" s="41">
        <f>0.38*C7*12</f>
        <v>13796.28</v>
      </c>
      <c r="F34" s="35"/>
    </row>
    <row r="35" spans="1:6" ht="15.75">
      <c r="A35" s="54" t="s">
        <v>59</v>
      </c>
      <c r="B35" s="55"/>
      <c r="C35" s="55"/>
      <c r="D35" s="56"/>
      <c r="E35" s="41">
        <f>2.3*C7*12</f>
        <v>83503.79999999999</v>
      </c>
      <c r="F35" s="35"/>
    </row>
    <row r="36" spans="1:6" ht="15.75">
      <c r="A36" s="54" t="s">
        <v>37</v>
      </c>
      <c r="B36" s="55"/>
      <c r="C36" s="55"/>
      <c r="D36" s="56"/>
      <c r="E36" s="41">
        <f>1.2*C7*12</f>
        <v>43567.2</v>
      </c>
      <c r="F36" s="35"/>
    </row>
    <row r="37" spans="1:6" ht="15.75">
      <c r="A37" s="54" t="s">
        <v>38</v>
      </c>
      <c r="B37" s="55"/>
      <c r="C37" s="55"/>
      <c r="D37" s="56"/>
      <c r="E37" s="41"/>
      <c r="F37" s="35"/>
    </row>
    <row r="38" spans="1:6" ht="15">
      <c r="A38" s="57" t="s">
        <v>18</v>
      </c>
      <c r="B38" s="58"/>
      <c r="C38" s="58"/>
      <c r="D38" s="59"/>
      <c r="E38" s="41">
        <f>3.83*C7*12</f>
        <v>139051.98</v>
      </c>
      <c r="F38" s="35"/>
    </row>
    <row r="39" spans="1:6" ht="15">
      <c r="A39" s="57" t="s">
        <v>19</v>
      </c>
      <c r="B39" s="58"/>
      <c r="C39" s="58"/>
      <c r="D39" s="59"/>
      <c r="E39" s="41">
        <f>1.16*C7*12</f>
        <v>42114.96</v>
      </c>
      <c r="F39" s="35"/>
    </row>
    <row r="40" spans="1:6" ht="15.75">
      <c r="A40" s="54" t="s">
        <v>39</v>
      </c>
      <c r="B40" s="55"/>
      <c r="C40" s="55"/>
      <c r="D40" s="56"/>
      <c r="E40" s="41"/>
      <c r="F40" s="35"/>
    </row>
    <row r="41" spans="1:6" ht="15">
      <c r="A41" s="57" t="s">
        <v>18</v>
      </c>
      <c r="B41" s="58"/>
      <c r="C41" s="58"/>
      <c r="D41" s="59"/>
      <c r="E41" s="41">
        <f>1.5*C7*12</f>
        <v>54459</v>
      </c>
      <c r="F41" s="35"/>
    </row>
    <row r="42" spans="1:6" ht="15">
      <c r="A42" s="57" t="s">
        <v>19</v>
      </c>
      <c r="B42" s="58"/>
      <c r="C42" s="58"/>
      <c r="D42" s="59"/>
      <c r="E42" s="41">
        <f>0.46*C7*12</f>
        <v>16700.760000000002</v>
      </c>
      <c r="F42" s="35"/>
    </row>
    <row r="43" spans="1:6" ht="15.75">
      <c r="A43" s="46" t="s">
        <v>44</v>
      </c>
      <c r="B43" s="47"/>
      <c r="C43" s="47"/>
      <c r="D43" s="48"/>
      <c r="E43" s="86">
        <f>1.61*C7*12+4878.63</f>
        <v>63331.29</v>
      </c>
      <c r="F43" s="35"/>
    </row>
    <row r="44" spans="1:6" ht="19.5" customHeight="1">
      <c r="A44" s="31" t="s">
        <v>45</v>
      </c>
      <c r="B44" s="29"/>
      <c r="C44" s="29"/>
      <c r="D44" s="30"/>
      <c r="E44" s="87"/>
      <c r="F44" s="35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37:D37"/>
    <mergeCell ref="A38:D38"/>
    <mergeCell ref="A35:D35"/>
    <mergeCell ref="A34:D34"/>
    <mergeCell ref="A42:D42"/>
    <mergeCell ref="E21:E22"/>
    <mergeCell ref="A24:D24"/>
    <mergeCell ref="A36:D36"/>
    <mergeCell ref="A30:D30"/>
    <mergeCell ref="A31:D31"/>
    <mergeCell ref="E43:E44"/>
    <mergeCell ref="E16:E17"/>
    <mergeCell ref="A43:D43"/>
    <mergeCell ref="A39:D39"/>
    <mergeCell ref="A40:D40"/>
    <mergeCell ref="A41:D41"/>
    <mergeCell ref="A28:D28"/>
    <mergeCell ref="A29:D29"/>
    <mergeCell ref="A26:D26"/>
    <mergeCell ref="A23:D23"/>
    <mergeCell ref="A32:D32"/>
    <mergeCell ref="A33:D33"/>
    <mergeCell ref="A18:D18"/>
    <mergeCell ref="A19:D19"/>
    <mergeCell ref="A25:D25"/>
    <mergeCell ref="A20:D20"/>
    <mergeCell ref="A21:D21"/>
    <mergeCell ref="A27:D27"/>
    <mergeCell ref="A48:B48"/>
    <mergeCell ref="A51:B51"/>
    <mergeCell ref="A6:B6"/>
    <mergeCell ref="A1:E1"/>
    <mergeCell ref="A2:E2"/>
    <mergeCell ref="A3:E3"/>
    <mergeCell ref="A4:E4"/>
    <mergeCell ref="A7:B7"/>
    <mergeCell ref="A22:D22"/>
    <mergeCell ref="A16:D1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zoomScalePageLayoutView="0" workbookViewId="0" topLeftCell="A18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625" style="0" customWidth="1"/>
    <col min="5" max="5" width="19.75390625" style="0" customWidth="1"/>
    <col min="7" max="7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31</v>
      </c>
      <c r="B6" s="75"/>
      <c r="C6" s="2"/>
      <c r="D6" s="2"/>
    </row>
    <row r="7" spans="1:4" ht="15" customHeight="1">
      <c r="A7" s="75" t="s">
        <v>58</v>
      </c>
      <c r="B7" s="75"/>
      <c r="C7" s="37">
        <v>1679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48712.07</v>
      </c>
      <c r="C14" s="15">
        <v>397721.76</v>
      </c>
      <c r="D14" s="15">
        <v>413459.8</v>
      </c>
      <c r="E14" s="15">
        <f>B14+C14-D14</f>
        <v>32974.03000000003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397721.76</v>
      </c>
    </row>
    <row r="19" spans="1:5" ht="12.75">
      <c r="A19" s="63" t="s">
        <v>13</v>
      </c>
      <c r="B19" s="64"/>
      <c r="C19" s="64"/>
      <c r="D19" s="65"/>
      <c r="E19" s="27">
        <f>C14</f>
        <v>397721.76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404470.41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17</v>
      </c>
      <c r="B23" s="55"/>
      <c r="C23" s="55"/>
      <c r="D23" s="56"/>
      <c r="E23" s="28"/>
      <c r="F23" s="25"/>
    </row>
    <row r="24" spans="1:7" ht="15">
      <c r="A24" s="57" t="s">
        <v>18</v>
      </c>
      <c r="B24" s="58"/>
      <c r="C24" s="58"/>
      <c r="D24" s="59"/>
      <c r="E24" s="41">
        <f>1.9*C7*12</f>
        <v>38281.2</v>
      </c>
      <c r="F24" s="35"/>
      <c r="G24" s="35"/>
    </row>
    <row r="25" spans="1:7" ht="15">
      <c r="A25" s="57" t="s">
        <v>19</v>
      </c>
      <c r="B25" s="58"/>
      <c r="C25" s="58"/>
      <c r="D25" s="59"/>
      <c r="E25" s="41">
        <f>0.58*C7*12</f>
        <v>11685.84</v>
      </c>
      <c r="F25" s="35"/>
      <c r="G25" s="35"/>
    </row>
    <row r="26" spans="1:7" ht="15">
      <c r="A26" s="57" t="s">
        <v>20</v>
      </c>
      <c r="B26" s="58"/>
      <c r="C26" s="58"/>
      <c r="D26" s="59"/>
      <c r="E26" s="41">
        <f>0.3*C7*12-3000</f>
        <v>3044.3999999999996</v>
      </c>
      <c r="F26" s="35"/>
      <c r="G26" s="35"/>
    </row>
    <row r="27" spans="1:7" ht="15.75">
      <c r="A27" s="54" t="s">
        <v>21</v>
      </c>
      <c r="B27" s="55"/>
      <c r="C27" s="55"/>
      <c r="D27" s="56"/>
      <c r="E27" s="41"/>
      <c r="F27" s="35"/>
      <c r="G27" s="35"/>
    </row>
    <row r="28" spans="1:7" ht="15">
      <c r="A28" s="57" t="s">
        <v>18</v>
      </c>
      <c r="B28" s="58"/>
      <c r="C28" s="58"/>
      <c r="D28" s="59"/>
      <c r="E28" s="41">
        <f>2.98*C7*12</f>
        <v>60041.04</v>
      </c>
      <c r="F28" s="35"/>
      <c r="G28" s="35"/>
    </row>
    <row r="29" spans="1:7" ht="15">
      <c r="A29" s="57" t="s">
        <v>19</v>
      </c>
      <c r="B29" s="58"/>
      <c r="C29" s="58"/>
      <c r="D29" s="59"/>
      <c r="E29" s="41">
        <f>0.9*C7*12</f>
        <v>18133.2</v>
      </c>
      <c r="F29" s="35"/>
      <c r="G29" s="35"/>
    </row>
    <row r="30" spans="1:7" ht="15">
      <c r="A30" s="57" t="s">
        <v>20</v>
      </c>
      <c r="B30" s="58"/>
      <c r="C30" s="58"/>
      <c r="D30" s="59"/>
      <c r="E30" s="41">
        <f>0.03*C7*12</f>
        <v>604.4399999999999</v>
      </c>
      <c r="F30" s="35"/>
      <c r="G30" s="35"/>
    </row>
    <row r="31" spans="1:7" ht="15.75">
      <c r="A31" s="54" t="s">
        <v>35</v>
      </c>
      <c r="B31" s="55"/>
      <c r="C31" s="55"/>
      <c r="D31" s="56"/>
      <c r="E31" s="41"/>
      <c r="F31" s="35"/>
      <c r="G31" s="35"/>
    </row>
    <row r="32" spans="1:7" ht="15">
      <c r="A32" s="57" t="s">
        <v>36</v>
      </c>
      <c r="B32" s="58"/>
      <c r="C32" s="58"/>
      <c r="D32" s="59"/>
      <c r="E32" s="41">
        <f>0.3*C7*12</f>
        <v>6044.4</v>
      </c>
      <c r="F32" s="35"/>
      <c r="G32" s="35"/>
    </row>
    <row r="33" spans="1:7" ht="15">
      <c r="A33" s="57" t="s">
        <v>33</v>
      </c>
      <c r="B33" s="58"/>
      <c r="C33" s="58"/>
      <c r="D33" s="59"/>
      <c r="E33" s="41">
        <f>0.05*C7*12</f>
        <v>1007.4000000000001</v>
      </c>
      <c r="F33" s="35"/>
      <c r="G33" s="35"/>
    </row>
    <row r="34" spans="1:7" ht="15">
      <c r="A34" s="57" t="s">
        <v>34</v>
      </c>
      <c r="B34" s="58"/>
      <c r="C34" s="58"/>
      <c r="D34" s="59"/>
      <c r="E34" s="41">
        <f>0.38*C7*12</f>
        <v>7656.24</v>
      </c>
      <c r="F34" s="35"/>
      <c r="G34" s="35"/>
    </row>
    <row r="35" spans="1:7" ht="15.75">
      <c r="A35" s="54" t="s">
        <v>59</v>
      </c>
      <c r="B35" s="55"/>
      <c r="C35" s="55"/>
      <c r="D35" s="56"/>
      <c r="E35" s="41">
        <f>1.5*C7*12</f>
        <v>30222</v>
      </c>
      <c r="F35" s="35"/>
      <c r="G35" s="35"/>
    </row>
    <row r="36" spans="1:7" ht="15.75">
      <c r="A36" s="54" t="s">
        <v>37</v>
      </c>
      <c r="B36" s="55"/>
      <c r="C36" s="55"/>
      <c r="D36" s="56"/>
      <c r="E36" s="41">
        <v>14146.94</v>
      </c>
      <c r="F36" s="35"/>
      <c r="G36" s="35"/>
    </row>
    <row r="37" spans="1:5" ht="15.75">
      <c r="A37" s="54" t="s">
        <v>38</v>
      </c>
      <c r="B37" s="55"/>
      <c r="C37" s="55"/>
      <c r="D37" s="56"/>
      <c r="E37" s="19"/>
    </row>
    <row r="38" spans="1:5" ht="15">
      <c r="A38" s="57" t="s">
        <v>18</v>
      </c>
      <c r="B38" s="58"/>
      <c r="C38" s="58"/>
      <c r="D38" s="59"/>
      <c r="E38" s="19">
        <f>3.75*C7*12</f>
        <v>75555</v>
      </c>
    </row>
    <row r="39" spans="1:5" ht="15">
      <c r="A39" s="57" t="s">
        <v>19</v>
      </c>
      <c r="B39" s="58"/>
      <c r="C39" s="58"/>
      <c r="D39" s="59"/>
      <c r="E39" s="19">
        <f>1.13*C7*12</f>
        <v>22767.239999999998</v>
      </c>
    </row>
    <row r="40" spans="1:5" ht="15.75">
      <c r="A40" s="54" t="s">
        <v>39</v>
      </c>
      <c r="B40" s="55"/>
      <c r="C40" s="55"/>
      <c r="D40" s="56"/>
      <c r="E40" s="19"/>
    </row>
    <row r="41" spans="1:5" ht="15">
      <c r="A41" s="57" t="s">
        <v>18</v>
      </c>
      <c r="B41" s="58"/>
      <c r="C41" s="58"/>
      <c r="D41" s="59"/>
      <c r="E41" s="19">
        <f>2.91*C7*12</f>
        <v>58630.68000000001</v>
      </c>
    </row>
    <row r="42" spans="1:5" ht="15">
      <c r="A42" s="57" t="s">
        <v>19</v>
      </c>
      <c r="B42" s="58"/>
      <c r="C42" s="58"/>
      <c r="D42" s="59"/>
      <c r="E42" s="19">
        <f>0.88*C7*12</f>
        <v>17730.239999999998</v>
      </c>
    </row>
    <row r="43" spans="1:5" ht="15.75">
      <c r="A43" s="46" t="s">
        <v>44</v>
      </c>
      <c r="B43" s="47"/>
      <c r="C43" s="47"/>
      <c r="D43" s="48"/>
      <c r="E43" s="69">
        <f>2.03*C7*12-1980.29</f>
        <v>38920.15</v>
      </c>
    </row>
    <row r="44" spans="1:5" ht="11.25" customHeight="1">
      <c r="A44" s="31" t="s">
        <v>45</v>
      </c>
      <c r="B44" s="29"/>
      <c r="C44" s="29"/>
      <c r="D44" s="30"/>
      <c r="E44" s="70"/>
    </row>
    <row r="46" ht="12.75">
      <c r="E46" s="10"/>
    </row>
    <row r="49" spans="1:4" ht="25.5" customHeight="1">
      <c r="A49" s="45" t="s">
        <v>140</v>
      </c>
      <c r="B49" s="45"/>
      <c r="D49" s="44" t="s">
        <v>141</v>
      </c>
    </row>
    <row r="52" spans="1:4" ht="12.75">
      <c r="A52" s="45"/>
      <c r="B52" s="45"/>
      <c r="D52" s="44"/>
    </row>
  </sheetData>
  <sheetProtection/>
  <mergeCells count="38">
    <mergeCell ref="A38:D38"/>
    <mergeCell ref="A35:D35"/>
    <mergeCell ref="A34:D34"/>
    <mergeCell ref="A42:D42"/>
    <mergeCell ref="E43:E44"/>
    <mergeCell ref="E16:E17"/>
    <mergeCell ref="A43:D43"/>
    <mergeCell ref="A39:D39"/>
    <mergeCell ref="A40:D40"/>
    <mergeCell ref="A41:D41"/>
    <mergeCell ref="A26:D26"/>
    <mergeCell ref="A23:D23"/>
    <mergeCell ref="A37:D37"/>
    <mergeCell ref="A36:D36"/>
    <mergeCell ref="A30:D30"/>
    <mergeCell ref="A31:D31"/>
    <mergeCell ref="A32:D32"/>
    <mergeCell ref="A33:D33"/>
    <mergeCell ref="A1:E1"/>
    <mergeCell ref="A2:E2"/>
    <mergeCell ref="A3:E3"/>
    <mergeCell ref="A4:E4"/>
    <mergeCell ref="A7:B7"/>
    <mergeCell ref="E21:E22"/>
    <mergeCell ref="A18:D18"/>
    <mergeCell ref="A19:D19"/>
    <mergeCell ref="A20:D20"/>
    <mergeCell ref="A21:D21"/>
    <mergeCell ref="A16:D17"/>
    <mergeCell ref="A27:D27"/>
    <mergeCell ref="A24:D24"/>
    <mergeCell ref="A49:B49"/>
    <mergeCell ref="A52:B52"/>
    <mergeCell ref="A6:B6"/>
    <mergeCell ref="A25:D25"/>
    <mergeCell ref="A22:D22"/>
    <mergeCell ref="A28:D28"/>
    <mergeCell ref="A29:D29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E51"/>
  <sheetViews>
    <sheetView zoomScalePageLayoutView="0" workbookViewId="0" topLeftCell="A18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10" max="10" width="10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54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30</v>
      </c>
      <c r="B6" s="75"/>
      <c r="C6" s="2"/>
      <c r="D6" s="2"/>
    </row>
    <row r="7" spans="1:4" ht="15" customHeight="1">
      <c r="A7" s="75" t="s">
        <v>56</v>
      </c>
      <c r="B7" s="75"/>
      <c r="C7" s="37">
        <v>1586.5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48571.99</v>
      </c>
      <c r="C14" s="15">
        <v>368727.31</v>
      </c>
      <c r="D14" s="15">
        <v>365193.98</v>
      </c>
      <c r="E14" s="15">
        <f>B14+C14-D14</f>
        <v>52105.32000000001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368727.31</v>
      </c>
    </row>
    <row r="19" spans="1:5" ht="12.75">
      <c r="A19" s="63" t="s">
        <v>13</v>
      </c>
      <c r="B19" s="64"/>
      <c r="C19" s="64"/>
      <c r="D19" s="65"/>
      <c r="E19" s="27">
        <f>C14</f>
        <v>368727.31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374983.98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41">
        <f>1.9*C7*12</f>
        <v>36172.2</v>
      </c>
    </row>
    <row r="25" spans="1:5" ht="15">
      <c r="A25" s="57" t="s">
        <v>19</v>
      </c>
      <c r="B25" s="58"/>
      <c r="C25" s="58"/>
      <c r="D25" s="59"/>
      <c r="E25" s="41">
        <f>0.58*C7*12</f>
        <v>11042.039999999999</v>
      </c>
    </row>
    <row r="26" spans="1:5" ht="15">
      <c r="A26" s="57" t="s">
        <v>20</v>
      </c>
      <c r="B26" s="58"/>
      <c r="C26" s="58"/>
      <c r="D26" s="59"/>
      <c r="E26" s="41">
        <f>0.3*C7*12-3000</f>
        <v>2711.3999999999996</v>
      </c>
    </row>
    <row r="27" spans="1:5" ht="15.75">
      <c r="A27" s="54" t="s">
        <v>21</v>
      </c>
      <c r="B27" s="55"/>
      <c r="C27" s="55"/>
      <c r="D27" s="56"/>
      <c r="E27" s="41"/>
    </row>
    <row r="28" spans="1:5" ht="15">
      <c r="A28" s="57" t="s">
        <v>18</v>
      </c>
      <c r="B28" s="58"/>
      <c r="C28" s="58"/>
      <c r="D28" s="59"/>
      <c r="E28" s="41">
        <f>2.98*C7*12</f>
        <v>56733.23999999999</v>
      </c>
    </row>
    <row r="29" spans="1:5" ht="15">
      <c r="A29" s="57" t="s">
        <v>19</v>
      </c>
      <c r="B29" s="58"/>
      <c r="C29" s="58"/>
      <c r="D29" s="59"/>
      <c r="E29" s="41">
        <f>0.9*C7*12</f>
        <v>17134.2</v>
      </c>
    </row>
    <row r="30" spans="1:5" ht="15">
      <c r="A30" s="57" t="s">
        <v>20</v>
      </c>
      <c r="B30" s="58"/>
      <c r="C30" s="58"/>
      <c r="D30" s="59"/>
      <c r="E30" s="41">
        <f>0.03*C7*12</f>
        <v>571.14</v>
      </c>
    </row>
    <row r="31" spans="1:5" ht="15.75">
      <c r="A31" s="54" t="s">
        <v>35</v>
      </c>
      <c r="B31" s="55"/>
      <c r="C31" s="55"/>
      <c r="D31" s="56"/>
      <c r="E31" s="41"/>
    </row>
    <row r="32" spans="1:5" ht="15">
      <c r="A32" s="57" t="s">
        <v>36</v>
      </c>
      <c r="B32" s="58"/>
      <c r="C32" s="58"/>
      <c r="D32" s="59"/>
      <c r="E32" s="41">
        <f>0.3*C7*12</f>
        <v>5711.4</v>
      </c>
    </row>
    <row r="33" spans="1:5" ht="15">
      <c r="A33" s="57" t="s">
        <v>33</v>
      </c>
      <c r="B33" s="58"/>
      <c r="C33" s="58"/>
      <c r="D33" s="59"/>
      <c r="E33" s="41">
        <f>0.05*C7*12</f>
        <v>951.9000000000001</v>
      </c>
    </row>
    <row r="34" spans="1:5" ht="15">
      <c r="A34" s="57" t="s">
        <v>34</v>
      </c>
      <c r="B34" s="58"/>
      <c r="C34" s="58"/>
      <c r="D34" s="59"/>
      <c r="E34" s="41">
        <f>0.38*C7*12-2000</f>
        <v>5234.4400000000005</v>
      </c>
    </row>
    <row r="35" spans="1:5" ht="15.75">
      <c r="A35" s="54" t="s">
        <v>59</v>
      </c>
      <c r="B35" s="55"/>
      <c r="C35" s="55"/>
      <c r="D35" s="56"/>
      <c r="E35" s="41">
        <f>1.5*C7*12</f>
        <v>28557</v>
      </c>
    </row>
    <row r="36" spans="1:5" ht="15.75">
      <c r="A36" s="54" t="s">
        <v>37</v>
      </c>
      <c r="B36" s="55"/>
      <c r="C36" s="55"/>
      <c r="D36" s="56"/>
      <c r="E36" s="41">
        <v>13496.32</v>
      </c>
    </row>
    <row r="37" spans="1:5" ht="15.75">
      <c r="A37" s="54" t="s">
        <v>38</v>
      </c>
      <c r="B37" s="55"/>
      <c r="C37" s="55"/>
      <c r="D37" s="56"/>
      <c r="E37" s="19"/>
    </row>
    <row r="38" spans="1:5" ht="15">
      <c r="A38" s="57" t="s">
        <v>18</v>
      </c>
      <c r="B38" s="58"/>
      <c r="C38" s="58"/>
      <c r="D38" s="59"/>
      <c r="E38" s="19">
        <f>3.75*C7*12-1500</f>
        <v>69892.5</v>
      </c>
    </row>
    <row r="39" spans="1:5" ht="15">
      <c r="A39" s="57" t="s">
        <v>19</v>
      </c>
      <c r="B39" s="58"/>
      <c r="C39" s="58"/>
      <c r="D39" s="59"/>
      <c r="E39" s="19">
        <f>1.13*C7*12-453</f>
        <v>21059.94</v>
      </c>
    </row>
    <row r="40" spans="1:5" ht="15.75">
      <c r="A40" s="54" t="s">
        <v>39</v>
      </c>
      <c r="B40" s="55"/>
      <c r="C40" s="55"/>
      <c r="D40" s="56"/>
      <c r="E40" s="19"/>
    </row>
    <row r="41" spans="1:5" ht="15">
      <c r="A41" s="57" t="s">
        <v>18</v>
      </c>
      <c r="B41" s="58"/>
      <c r="C41" s="58"/>
      <c r="D41" s="59"/>
      <c r="E41" s="19">
        <f>2.91*C7*12</f>
        <v>55400.58</v>
      </c>
    </row>
    <row r="42" spans="1:5" ht="15">
      <c r="A42" s="57" t="s">
        <v>19</v>
      </c>
      <c r="B42" s="58"/>
      <c r="C42" s="58"/>
      <c r="D42" s="59"/>
      <c r="E42" s="19">
        <f>0.88*C7*12</f>
        <v>16753.440000000002</v>
      </c>
    </row>
    <row r="43" spans="1:5" ht="15.75">
      <c r="A43" s="46" t="s">
        <v>44</v>
      </c>
      <c r="B43" s="47"/>
      <c r="C43" s="47"/>
      <c r="D43" s="48"/>
      <c r="E43" s="69">
        <f>2.03*C7*12-5000-84.9</f>
        <v>33562.24</v>
      </c>
    </row>
    <row r="44" spans="1:5" ht="14.25" customHeight="1">
      <c r="A44" s="31" t="s">
        <v>45</v>
      </c>
      <c r="B44" s="29"/>
      <c r="C44" s="29"/>
      <c r="D44" s="30"/>
      <c r="E44" s="7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E16:E17"/>
    <mergeCell ref="A35:D35"/>
    <mergeCell ref="A42:D42"/>
    <mergeCell ref="E43:E44"/>
    <mergeCell ref="A1:E1"/>
    <mergeCell ref="A2:E2"/>
    <mergeCell ref="A3:E3"/>
    <mergeCell ref="A4:E4"/>
    <mergeCell ref="A43:D43"/>
    <mergeCell ref="A41:D41"/>
    <mergeCell ref="E21:E22"/>
    <mergeCell ref="A33:D33"/>
    <mergeCell ref="A26:D26"/>
    <mergeCell ref="A27:D27"/>
    <mergeCell ref="A28:D28"/>
    <mergeCell ref="A23:D23"/>
    <mergeCell ref="A29:D29"/>
    <mergeCell ref="A24:D24"/>
    <mergeCell ref="A19:D19"/>
    <mergeCell ref="A40:D40"/>
    <mergeCell ref="A30:D30"/>
    <mergeCell ref="A31:D31"/>
    <mergeCell ref="A32:D32"/>
    <mergeCell ref="A39:D39"/>
    <mergeCell ref="A36:D36"/>
    <mergeCell ref="A34:D34"/>
    <mergeCell ref="A37:D37"/>
    <mergeCell ref="A38:D38"/>
    <mergeCell ref="A48:B48"/>
    <mergeCell ref="A51:B51"/>
    <mergeCell ref="A7:B7"/>
    <mergeCell ref="A25:D25"/>
    <mergeCell ref="A6:B6"/>
    <mergeCell ref="A22:D22"/>
    <mergeCell ref="A16:D17"/>
    <mergeCell ref="A18:D18"/>
    <mergeCell ref="A20:D20"/>
    <mergeCell ref="A21:D21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E51"/>
  <sheetViews>
    <sheetView zoomScalePageLayoutView="0" workbookViewId="0" topLeftCell="A19">
      <selection activeCell="E37" sqref="E3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625" style="0" customWidth="1"/>
    <col min="5" max="5" width="19.1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29</v>
      </c>
      <c r="B6" s="75"/>
      <c r="C6" s="2"/>
      <c r="D6" s="2"/>
    </row>
    <row r="7" spans="1:4" ht="15" customHeight="1">
      <c r="A7" s="75" t="s">
        <v>56</v>
      </c>
      <c r="B7" s="75"/>
      <c r="C7" s="37">
        <v>1196.5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44254.66</v>
      </c>
      <c r="C14" s="15">
        <v>283426.8</v>
      </c>
      <c r="D14" s="15">
        <v>302263.39</v>
      </c>
      <c r="E14" s="15">
        <f>B14+C14-D14</f>
        <v>25418.06999999995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283426.8</v>
      </c>
    </row>
    <row r="19" spans="1:5" ht="12.75">
      <c r="A19" s="63" t="s">
        <v>13</v>
      </c>
      <c r="B19" s="64"/>
      <c r="C19" s="64"/>
      <c r="D19" s="65"/>
      <c r="E19" s="32">
        <f>C14</f>
        <v>283426.8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288236.06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19">
        <f>3.05*C7*12</f>
        <v>43791.899999999994</v>
      </c>
    </row>
    <row r="25" spans="1:5" ht="15">
      <c r="A25" s="57" t="s">
        <v>19</v>
      </c>
      <c r="B25" s="58"/>
      <c r="C25" s="58"/>
      <c r="D25" s="59"/>
      <c r="E25" s="19">
        <f>0.92*C7*12</f>
        <v>13209.36</v>
      </c>
    </row>
    <row r="26" spans="1:5" ht="15">
      <c r="A26" s="57" t="s">
        <v>20</v>
      </c>
      <c r="B26" s="58"/>
      <c r="C26" s="58"/>
      <c r="D26" s="59"/>
      <c r="E26" s="19">
        <f>0.19*C7*12</f>
        <v>2728.02</v>
      </c>
    </row>
    <row r="27" spans="1:5" ht="15.75">
      <c r="A27" s="54" t="s">
        <v>21</v>
      </c>
      <c r="B27" s="55"/>
      <c r="C27" s="55"/>
      <c r="D27" s="56"/>
      <c r="E27" s="19"/>
    </row>
    <row r="28" spans="1:5" ht="15">
      <c r="A28" s="57" t="s">
        <v>18</v>
      </c>
      <c r="B28" s="58"/>
      <c r="C28" s="58"/>
      <c r="D28" s="59"/>
      <c r="E28" s="19">
        <f>2.99*C7*12</f>
        <v>42930.420000000006</v>
      </c>
    </row>
    <row r="29" spans="1:5" ht="15">
      <c r="A29" s="57" t="s">
        <v>19</v>
      </c>
      <c r="B29" s="58"/>
      <c r="C29" s="58"/>
      <c r="D29" s="59"/>
      <c r="E29" s="19">
        <f>0.9*C7*12</f>
        <v>12922.2</v>
      </c>
    </row>
    <row r="30" spans="1:5" ht="15">
      <c r="A30" s="57" t="s">
        <v>20</v>
      </c>
      <c r="B30" s="58"/>
      <c r="C30" s="58"/>
      <c r="D30" s="59"/>
      <c r="E30" s="19">
        <f>0.03*C7*12</f>
        <v>430.73999999999995</v>
      </c>
    </row>
    <row r="31" spans="1:5" ht="15.75">
      <c r="A31" s="54" t="s">
        <v>35</v>
      </c>
      <c r="B31" s="55"/>
      <c r="C31" s="55"/>
      <c r="D31" s="56"/>
      <c r="E31" s="19"/>
    </row>
    <row r="32" spans="1:5" ht="15">
      <c r="A32" s="57" t="s">
        <v>43</v>
      </c>
      <c r="B32" s="58"/>
      <c r="C32" s="58"/>
      <c r="D32" s="59"/>
      <c r="E32" s="19">
        <f>0.3*C7*12</f>
        <v>4307.4</v>
      </c>
    </row>
    <row r="33" spans="1:5" ht="15">
      <c r="A33" s="57" t="s">
        <v>33</v>
      </c>
      <c r="B33" s="58"/>
      <c r="C33" s="58"/>
      <c r="D33" s="59"/>
      <c r="E33" s="19">
        <f>0.05*C7*12</f>
        <v>717.9000000000001</v>
      </c>
    </row>
    <row r="34" spans="1:5" ht="15">
      <c r="A34" s="57" t="s">
        <v>34</v>
      </c>
      <c r="B34" s="58"/>
      <c r="C34" s="58"/>
      <c r="D34" s="59"/>
      <c r="E34" s="19">
        <f>0.38*C7*12</f>
        <v>5456.04</v>
      </c>
    </row>
    <row r="35" spans="1:5" ht="15.75">
      <c r="A35" s="54" t="s">
        <v>59</v>
      </c>
      <c r="B35" s="55"/>
      <c r="C35" s="55"/>
      <c r="D35" s="56"/>
      <c r="E35" s="19">
        <f>1.7*C7*12</f>
        <v>24408.6</v>
      </c>
    </row>
    <row r="36" spans="1:5" ht="15.75">
      <c r="A36" s="54" t="s">
        <v>37</v>
      </c>
      <c r="B36" s="55"/>
      <c r="C36" s="55"/>
      <c r="D36" s="56"/>
      <c r="E36" s="19">
        <f>10081.47-3549.37</f>
        <v>6532.099999999999</v>
      </c>
    </row>
    <row r="37" spans="1:5" ht="15.75">
      <c r="A37" s="54" t="s">
        <v>38</v>
      </c>
      <c r="B37" s="55"/>
      <c r="C37" s="55"/>
      <c r="D37" s="56"/>
      <c r="E37" s="19"/>
    </row>
    <row r="38" spans="1:5" ht="15">
      <c r="A38" s="57" t="s">
        <v>18</v>
      </c>
      <c r="B38" s="58"/>
      <c r="C38" s="58"/>
      <c r="D38" s="59"/>
      <c r="E38" s="19">
        <f>3.43*C7*12</f>
        <v>49247.94</v>
      </c>
    </row>
    <row r="39" spans="1:5" ht="15">
      <c r="A39" s="57" t="s">
        <v>19</v>
      </c>
      <c r="B39" s="58"/>
      <c r="C39" s="58"/>
      <c r="D39" s="59"/>
      <c r="E39" s="19">
        <f>1.04*C7*12</f>
        <v>14932.320000000002</v>
      </c>
    </row>
    <row r="40" spans="1:5" ht="15.75">
      <c r="A40" s="54" t="s">
        <v>39</v>
      </c>
      <c r="B40" s="55"/>
      <c r="C40" s="55"/>
      <c r="D40" s="56"/>
      <c r="E40" s="19"/>
    </row>
    <row r="41" spans="1:5" ht="15">
      <c r="A41" s="57" t="s">
        <v>18</v>
      </c>
      <c r="B41" s="58"/>
      <c r="C41" s="58"/>
      <c r="D41" s="59"/>
      <c r="E41" s="19">
        <f>1.92*C7*12</f>
        <v>27567.359999999997</v>
      </c>
    </row>
    <row r="42" spans="1:5" ht="15">
      <c r="A42" s="57" t="s">
        <v>19</v>
      </c>
      <c r="B42" s="58"/>
      <c r="C42" s="58"/>
      <c r="D42" s="59"/>
      <c r="E42" s="19">
        <f>0.58*C7*12</f>
        <v>8327.64</v>
      </c>
    </row>
    <row r="43" spans="1:5" ht="15.75">
      <c r="A43" s="46" t="s">
        <v>44</v>
      </c>
      <c r="B43" s="47"/>
      <c r="C43" s="47"/>
      <c r="D43" s="48"/>
      <c r="E43" s="69">
        <f>2.14*C7*12</f>
        <v>30726.120000000003</v>
      </c>
    </row>
    <row r="44" spans="1:5" ht="17.25" customHeight="1">
      <c r="A44" s="31" t="s">
        <v>45</v>
      </c>
      <c r="B44" s="29"/>
      <c r="C44" s="29"/>
      <c r="D44" s="30"/>
      <c r="E44" s="7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E16:E17"/>
    <mergeCell ref="A35:D35"/>
    <mergeCell ref="A42:D42"/>
    <mergeCell ref="E43:E44"/>
    <mergeCell ref="A1:E1"/>
    <mergeCell ref="A2:E2"/>
    <mergeCell ref="A3:E3"/>
    <mergeCell ref="A4:E4"/>
    <mergeCell ref="A43:D43"/>
    <mergeCell ref="A41:D41"/>
    <mergeCell ref="E21:E22"/>
    <mergeCell ref="A33:D33"/>
    <mergeCell ref="A26:D26"/>
    <mergeCell ref="A27:D27"/>
    <mergeCell ref="A28:D28"/>
    <mergeCell ref="A23:D23"/>
    <mergeCell ref="A29:D29"/>
    <mergeCell ref="A24:D24"/>
    <mergeCell ref="A19:D19"/>
    <mergeCell ref="A40:D40"/>
    <mergeCell ref="A30:D30"/>
    <mergeCell ref="A31:D31"/>
    <mergeCell ref="A32:D32"/>
    <mergeCell ref="A39:D39"/>
    <mergeCell ref="A36:D36"/>
    <mergeCell ref="A34:D34"/>
    <mergeCell ref="A37:D37"/>
    <mergeCell ref="A38:D38"/>
    <mergeCell ref="A48:B48"/>
    <mergeCell ref="A51:B51"/>
    <mergeCell ref="A7:B7"/>
    <mergeCell ref="A25:D25"/>
    <mergeCell ref="A6:B6"/>
    <mergeCell ref="A22:D22"/>
    <mergeCell ref="A16:D17"/>
    <mergeCell ref="A18:D18"/>
    <mergeCell ref="A20:D20"/>
    <mergeCell ref="A21:D21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8.625" style="0" customWidth="1"/>
    <col min="10" max="10" width="10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52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23</v>
      </c>
      <c r="B6" s="75"/>
      <c r="C6" s="2"/>
      <c r="D6" s="2"/>
    </row>
    <row r="7" spans="1:4" ht="15" customHeight="1">
      <c r="A7" s="75" t="s">
        <v>56</v>
      </c>
      <c r="B7" s="75"/>
      <c r="C7" s="37">
        <v>932.6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30940.76</v>
      </c>
      <c r="C14" s="15">
        <v>267021.84</v>
      </c>
      <c r="D14" s="15">
        <v>244860.25</v>
      </c>
      <c r="E14" s="15">
        <f>B14+C14-D14</f>
        <v>53102.350000000035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267021.84</v>
      </c>
    </row>
    <row r="19" spans="1:5" ht="12.75">
      <c r="A19" s="63" t="s">
        <v>13</v>
      </c>
      <c r="B19" s="64"/>
      <c r="C19" s="64"/>
      <c r="D19" s="65"/>
      <c r="E19" s="27">
        <f>C14</f>
        <v>267021.84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271552.742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2.56*C7*12</f>
        <v>28649.472</v>
      </c>
    </row>
    <row r="25" spans="1:5" ht="15">
      <c r="A25" s="57" t="s">
        <v>19</v>
      </c>
      <c r="B25" s="58"/>
      <c r="C25" s="58"/>
      <c r="D25" s="59"/>
      <c r="E25" s="23">
        <f>0.77*C7*12</f>
        <v>8617.224000000002</v>
      </c>
    </row>
    <row r="26" spans="1:5" ht="15">
      <c r="A26" s="57" t="s">
        <v>20</v>
      </c>
      <c r="B26" s="58"/>
      <c r="C26" s="58"/>
      <c r="D26" s="59"/>
      <c r="E26" s="23">
        <f>0.68*C7*12-2000</f>
        <v>5610.016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2.53*C7*12</f>
        <v>28313.736</v>
      </c>
    </row>
    <row r="29" spans="1:5" ht="15">
      <c r="A29" s="57" t="s">
        <v>19</v>
      </c>
      <c r="B29" s="58"/>
      <c r="C29" s="58"/>
      <c r="D29" s="59"/>
      <c r="E29" s="23">
        <f>0.76*C7*12</f>
        <v>8505.312000000002</v>
      </c>
    </row>
    <row r="30" spans="1:5" ht="15">
      <c r="A30" s="57" t="s">
        <v>20</v>
      </c>
      <c r="B30" s="58"/>
      <c r="C30" s="58"/>
      <c r="D30" s="59"/>
      <c r="E30" s="23">
        <f>0.45*C7*12</f>
        <v>5036.04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0.16*C7*12+2000</f>
        <v>3790.592</v>
      </c>
    </row>
    <row r="33" spans="1:5" ht="15">
      <c r="A33" s="57" t="s">
        <v>33</v>
      </c>
      <c r="B33" s="58"/>
      <c r="C33" s="58"/>
      <c r="D33" s="59"/>
      <c r="E33" s="23">
        <f>0.8*C7*12</f>
        <v>8952.960000000001</v>
      </c>
    </row>
    <row r="34" spans="1:5" ht="15.75">
      <c r="A34" s="54" t="s">
        <v>59</v>
      </c>
      <c r="B34" s="55"/>
      <c r="C34" s="55"/>
      <c r="D34" s="56"/>
      <c r="E34" s="23">
        <f>1.5*C7*12+3000</f>
        <v>19786.800000000003</v>
      </c>
    </row>
    <row r="35" spans="1:5" ht="15.75">
      <c r="A35" s="54" t="s">
        <v>37</v>
      </c>
      <c r="B35" s="55"/>
      <c r="C35" s="55"/>
      <c r="D35" s="56"/>
      <c r="E35" s="23">
        <f>1.91*C7*12</f>
        <v>21375.192000000003</v>
      </c>
    </row>
    <row r="36" spans="1:7" ht="15.75">
      <c r="A36" s="54" t="s">
        <v>38</v>
      </c>
      <c r="B36" s="55"/>
      <c r="C36" s="55"/>
      <c r="D36" s="56"/>
      <c r="E36" s="23"/>
      <c r="G36" s="1"/>
    </row>
    <row r="37" spans="1:5" ht="15">
      <c r="A37" s="57" t="s">
        <v>18</v>
      </c>
      <c r="B37" s="58"/>
      <c r="C37" s="58"/>
      <c r="D37" s="59"/>
      <c r="E37" s="23">
        <f>5.28*C7*12</f>
        <v>59089.53600000001</v>
      </c>
    </row>
    <row r="38" spans="1:5" ht="15">
      <c r="A38" s="57" t="s">
        <v>19</v>
      </c>
      <c r="B38" s="58"/>
      <c r="C38" s="58"/>
      <c r="D38" s="59"/>
      <c r="E38" s="23">
        <f>1.59*C7*12</f>
        <v>17794.008</v>
      </c>
    </row>
    <row r="39" spans="1:5" ht="15">
      <c r="A39" s="57" t="s">
        <v>40</v>
      </c>
      <c r="B39" s="58"/>
      <c r="C39" s="58"/>
      <c r="D39" s="59"/>
      <c r="E39" s="23">
        <f>0.1*C7*12</f>
        <v>1119.1200000000001</v>
      </c>
    </row>
    <row r="40" spans="1:5" ht="15.75">
      <c r="A40" s="54" t="s">
        <v>39</v>
      </c>
      <c r="B40" s="55"/>
      <c r="C40" s="55"/>
      <c r="D40" s="56"/>
      <c r="E40" s="23"/>
    </row>
    <row r="41" spans="1:5" ht="15">
      <c r="A41" s="57" t="s">
        <v>18</v>
      </c>
      <c r="B41" s="58"/>
      <c r="C41" s="58"/>
      <c r="D41" s="59"/>
      <c r="E41" s="23">
        <f>2.19*C7*12</f>
        <v>24508.728</v>
      </c>
    </row>
    <row r="42" spans="1:5" ht="15">
      <c r="A42" s="57" t="s">
        <v>19</v>
      </c>
      <c r="B42" s="58"/>
      <c r="C42" s="58"/>
      <c r="D42" s="59"/>
      <c r="E42" s="23">
        <f>0.66*C7*12</f>
        <v>7386.192000000001</v>
      </c>
    </row>
    <row r="43" spans="1:5" ht="15.75">
      <c r="A43" s="46" t="s">
        <v>44</v>
      </c>
      <c r="B43" s="47"/>
      <c r="C43" s="47"/>
      <c r="D43" s="48"/>
      <c r="E43" s="49">
        <f>1.92*C7*12+1530.71</f>
        <v>23017.814</v>
      </c>
    </row>
    <row r="44" spans="1:5" ht="13.5" customHeight="1">
      <c r="A44" s="31" t="s">
        <v>45</v>
      </c>
      <c r="B44" s="29"/>
      <c r="C44" s="29"/>
      <c r="D44" s="30"/>
      <c r="E44" s="5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E16:E17"/>
    <mergeCell ref="A42:D42"/>
    <mergeCell ref="E43:E44"/>
    <mergeCell ref="A1:E1"/>
    <mergeCell ref="A2:E2"/>
    <mergeCell ref="A3:E3"/>
    <mergeCell ref="A4:E4"/>
    <mergeCell ref="A43:D43"/>
    <mergeCell ref="A41:D41"/>
    <mergeCell ref="A36:D36"/>
    <mergeCell ref="E21:E22"/>
    <mergeCell ref="A33:D33"/>
    <mergeCell ref="A26:D26"/>
    <mergeCell ref="A27:D27"/>
    <mergeCell ref="A28:D28"/>
    <mergeCell ref="A23:D23"/>
    <mergeCell ref="A29:D29"/>
    <mergeCell ref="A24:D24"/>
    <mergeCell ref="A21:D21"/>
    <mergeCell ref="A19:D19"/>
    <mergeCell ref="A40:D40"/>
    <mergeCell ref="A30:D30"/>
    <mergeCell ref="A31:D31"/>
    <mergeCell ref="A32:D32"/>
    <mergeCell ref="A38:D38"/>
    <mergeCell ref="A39:D39"/>
    <mergeCell ref="A35:D35"/>
    <mergeCell ref="A37:D37"/>
    <mergeCell ref="A48:B48"/>
    <mergeCell ref="A51:B51"/>
    <mergeCell ref="A7:B7"/>
    <mergeCell ref="A34:D34"/>
    <mergeCell ref="A25:D25"/>
    <mergeCell ref="A6:B6"/>
    <mergeCell ref="A22:D22"/>
    <mergeCell ref="A16:D17"/>
    <mergeCell ref="A18:D18"/>
    <mergeCell ref="A20:D20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9">
      <selection activeCell="E46" sqref="E4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33.00390625" style="0" customWidth="1"/>
    <col min="5" max="5" width="18.00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28</v>
      </c>
      <c r="B6" s="75"/>
      <c r="C6" s="2"/>
      <c r="D6" s="2"/>
    </row>
    <row r="7" spans="1:4" ht="15" customHeight="1">
      <c r="A7" s="75" t="s">
        <v>56</v>
      </c>
      <c r="B7" s="75"/>
      <c r="C7" s="37">
        <v>1789.47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81248</v>
      </c>
      <c r="C14" s="15">
        <v>431987.74</v>
      </c>
      <c r="D14" s="15">
        <v>400564.45</v>
      </c>
      <c r="E14" s="15">
        <f>B14+C14-D14</f>
        <v>112671.28999999998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431987.74</v>
      </c>
    </row>
    <row r="19" spans="1:5" ht="12.75">
      <c r="A19" s="63" t="s">
        <v>13</v>
      </c>
      <c r="B19" s="64"/>
      <c r="C19" s="64"/>
      <c r="D19" s="65"/>
      <c r="E19" s="27">
        <f>C14</f>
        <v>431987.74</v>
      </c>
    </row>
    <row r="20" spans="1:5" ht="24.75" customHeight="1">
      <c r="A20" s="66" t="s">
        <v>14</v>
      </c>
      <c r="B20" s="67"/>
      <c r="C20" s="67"/>
      <c r="D20" s="68"/>
      <c r="E20" s="26">
        <f>SUM(E24:E45)</f>
        <v>439317.8291999999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1.59*C7*12+2000</f>
        <v>36143.0876</v>
      </c>
    </row>
    <row r="25" spans="1:5" ht="15">
      <c r="A25" s="57" t="s">
        <v>19</v>
      </c>
      <c r="B25" s="58"/>
      <c r="C25" s="58"/>
      <c r="D25" s="59"/>
      <c r="E25" s="23">
        <f>0.48*C7*12+604</f>
        <v>10911.3472</v>
      </c>
    </row>
    <row r="26" spans="1:5" ht="15">
      <c r="A26" s="57" t="s">
        <v>20</v>
      </c>
      <c r="B26" s="58"/>
      <c r="C26" s="58"/>
      <c r="D26" s="59"/>
      <c r="E26" s="23">
        <f>0.2*C7*12</f>
        <v>4294.728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3.56*C7*12+2000</f>
        <v>78446.1584</v>
      </c>
    </row>
    <row r="29" spans="1:5" ht="15">
      <c r="A29" s="57" t="s">
        <v>19</v>
      </c>
      <c r="B29" s="58"/>
      <c r="C29" s="58"/>
      <c r="D29" s="59"/>
      <c r="E29" s="23">
        <f>1.08*C7*12+604</f>
        <v>23795.531200000005</v>
      </c>
    </row>
    <row r="30" spans="1:5" ht="15">
      <c r="A30" s="57" t="s">
        <v>20</v>
      </c>
      <c r="B30" s="58"/>
      <c r="C30" s="58"/>
      <c r="D30" s="59"/>
      <c r="E30" s="23">
        <f>0.45*C7*12</f>
        <v>9663.138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43</v>
      </c>
      <c r="B32" s="58"/>
      <c r="C32" s="58"/>
      <c r="D32" s="59"/>
      <c r="E32" s="23">
        <f>0.16*C7*12+2000</f>
        <v>5435.7824</v>
      </c>
    </row>
    <row r="33" spans="1:5" ht="15">
      <c r="A33" s="57" t="s">
        <v>33</v>
      </c>
      <c r="B33" s="58"/>
      <c r="C33" s="58"/>
      <c r="D33" s="59"/>
      <c r="E33" s="23">
        <f>0.07*C7*12+5000</f>
        <v>6503.1548</v>
      </c>
    </row>
    <row r="34" spans="1:5" ht="15">
      <c r="A34" s="57" t="s">
        <v>42</v>
      </c>
      <c r="B34" s="58"/>
      <c r="C34" s="58"/>
      <c r="D34" s="59"/>
      <c r="E34" s="23">
        <f>0.35*C7*12+3000</f>
        <v>10515.774</v>
      </c>
    </row>
    <row r="35" spans="1:5" ht="15">
      <c r="A35" s="57" t="s">
        <v>34</v>
      </c>
      <c r="B35" s="58"/>
      <c r="C35" s="58"/>
      <c r="D35" s="59"/>
      <c r="E35" s="23">
        <f>0.38*C7*12</f>
        <v>8159.983200000001</v>
      </c>
    </row>
    <row r="36" spans="1:5" ht="15.75">
      <c r="A36" s="54" t="s">
        <v>59</v>
      </c>
      <c r="B36" s="55"/>
      <c r="C36" s="55"/>
      <c r="D36" s="56"/>
      <c r="E36" s="23">
        <f>1.7*C7*12</f>
        <v>36505.188</v>
      </c>
    </row>
    <row r="37" spans="1:5" ht="15.75">
      <c r="A37" s="54" t="s">
        <v>37</v>
      </c>
      <c r="B37" s="55"/>
      <c r="C37" s="55"/>
      <c r="D37" s="56"/>
      <c r="E37" s="23">
        <f>0.91*C7*12+2000</f>
        <v>21541.0124</v>
      </c>
    </row>
    <row r="38" spans="1:7" ht="15.75">
      <c r="A38" s="54" t="s">
        <v>38</v>
      </c>
      <c r="B38" s="55"/>
      <c r="C38" s="55"/>
      <c r="D38" s="56"/>
      <c r="E38" s="23"/>
      <c r="G38" s="1"/>
    </row>
    <row r="39" spans="1:5" ht="15">
      <c r="A39" s="57" t="s">
        <v>18</v>
      </c>
      <c r="B39" s="58"/>
      <c r="C39" s="58"/>
      <c r="D39" s="59"/>
      <c r="E39" s="23">
        <f>3.14*C7*12+2000</f>
        <v>69427.2296</v>
      </c>
    </row>
    <row r="40" spans="1:5" ht="15">
      <c r="A40" s="57" t="s">
        <v>19</v>
      </c>
      <c r="B40" s="58"/>
      <c r="C40" s="58"/>
      <c r="D40" s="59"/>
      <c r="E40" s="23">
        <f>0.95*C7*12+604</f>
        <v>21003.958</v>
      </c>
    </row>
    <row r="41" spans="1:5" ht="15.75">
      <c r="A41" s="54" t="s">
        <v>39</v>
      </c>
      <c r="B41" s="55"/>
      <c r="C41" s="55"/>
      <c r="D41" s="56"/>
      <c r="E41" s="23"/>
    </row>
    <row r="42" spans="1:5" ht="15">
      <c r="A42" s="57" t="s">
        <v>18</v>
      </c>
      <c r="B42" s="58"/>
      <c r="C42" s="58"/>
      <c r="D42" s="59"/>
      <c r="E42" s="23">
        <f>2.07*C7*12+2000</f>
        <v>46450.434799999995</v>
      </c>
    </row>
    <row r="43" spans="1:5" ht="15">
      <c r="A43" s="57" t="s">
        <v>19</v>
      </c>
      <c r="B43" s="58"/>
      <c r="C43" s="58"/>
      <c r="D43" s="59"/>
      <c r="E43" s="23">
        <f>0.63*C7*12+604</f>
        <v>14132.393199999999</v>
      </c>
    </row>
    <row r="44" spans="1:5" ht="15.75">
      <c r="A44" s="46" t="s">
        <v>44</v>
      </c>
      <c r="B44" s="47"/>
      <c r="C44" s="47"/>
      <c r="D44" s="48"/>
      <c r="E44" s="49">
        <f>1.56*C7*12+2890.05</f>
        <v>36388.928400000004</v>
      </c>
    </row>
    <row r="45" spans="1:5" ht="23.25" customHeight="1">
      <c r="A45" s="31" t="s">
        <v>45</v>
      </c>
      <c r="B45" s="29"/>
      <c r="C45" s="29"/>
      <c r="D45" s="30"/>
      <c r="E45" s="5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9">
    <mergeCell ref="E16:E17"/>
    <mergeCell ref="A43:D43"/>
    <mergeCell ref="E44:E45"/>
    <mergeCell ref="A1:E1"/>
    <mergeCell ref="A2:E2"/>
    <mergeCell ref="A3:E3"/>
    <mergeCell ref="A4:E4"/>
    <mergeCell ref="A44:D44"/>
    <mergeCell ref="A42:D42"/>
    <mergeCell ref="A38:D38"/>
    <mergeCell ref="E21:E22"/>
    <mergeCell ref="A33:D33"/>
    <mergeCell ref="A27:D27"/>
    <mergeCell ref="A28:D28"/>
    <mergeCell ref="A23:D23"/>
    <mergeCell ref="A29:D29"/>
    <mergeCell ref="A24:D24"/>
    <mergeCell ref="A26:D26"/>
    <mergeCell ref="A30:D30"/>
    <mergeCell ref="A19:D19"/>
    <mergeCell ref="A41:D41"/>
    <mergeCell ref="A31:D31"/>
    <mergeCell ref="A32:D32"/>
    <mergeCell ref="A40:D40"/>
    <mergeCell ref="A37:D37"/>
    <mergeCell ref="A34:D34"/>
    <mergeCell ref="A39:D39"/>
    <mergeCell ref="A36:D36"/>
    <mergeCell ref="A35:D35"/>
    <mergeCell ref="A48:B48"/>
    <mergeCell ref="A51:B51"/>
    <mergeCell ref="A7:B7"/>
    <mergeCell ref="A25:D25"/>
    <mergeCell ref="A6:B6"/>
    <mergeCell ref="A22:D22"/>
    <mergeCell ref="A16:D17"/>
    <mergeCell ref="A18:D18"/>
    <mergeCell ref="A20:D20"/>
    <mergeCell ref="A21:D21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9">
      <selection activeCell="E47" sqref="E47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30.375" style="0" customWidth="1"/>
    <col min="5" max="5" width="18.375" style="0" customWidth="1"/>
    <col min="7" max="7" width="11.37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50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27</v>
      </c>
      <c r="B6" s="75"/>
      <c r="C6" s="2"/>
      <c r="D6" s="2"/>
    </row>
    <row r="7" spans="1:4" ht="15" customHeight="1">
      <c r="A7" s="75" t="s">
        <v>56</v>
      </c>
      <c r="B7" s="75"/>
      <c r="C7" s="36">
        <v>1680.2</v>
      </c>
      <c r="D7" s="2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144977.62</v>
      </c>
      <c r="C14" s="15">
        <v>403248</v>
      </c>
      <c r="D14" s="15">
        <v>354031.61</v>
      </c>
      <c r="E14" s="15">
        <f>B14+C14-D14</f>
        <v>194194.01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403248</v>
      </c>
    </row>
    <row r="19" spans="1:5" ht="12.75">
      <c r="A19" s="63" t="s">
        <v>13</v>
      </c>
      <c r="B19" s="64"/>
      <c r="C19" s="64"/>
      <c r="D19" s="65"/>
      <c r="E19" s="27">
        <f>C14</f>
        <v>403248</v>
      </c>
    </row>
    <row r="20" spans="1:5" ht="24.75" customHeight="1">
      <c r="A20" s="66" t="s">
        <v>14</v>
      </c>
      <c r="B20" s="67"/>
      <c r="C20" s="67"/>
      <c r="D20" s="68"/>
      <c r="E20" s="26">
        <f>SUM(E24:E46)</f>
        <v>410090.42000000004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1.94*C7*12</f>
        <v>39115.056000000004</v>
      </c>
    </row>
    <row r="25" spans="1:5" ht="15">
      <c r="A25" s="57" t="s">
        <v>19</v>
      </c>
      <c r="B25" s="58"/>
      <c r="C25" s="58"/>
      <c r="D25" s="59"/>
      <c r="E25" s="23">
        <f>0.59*C7*12</f>
        <v>11895.815999999999</v>
      </c>
    </row>
    <row r="26" spans="1:5" ht="15">
      <c r="A26" s="57" t="s">
        <v>20</v>
      </c>
      <c r="B26" s="58"/>
      <c r="C26" s="58"/>
      <c r="D26" s="59"/>
      <c r="E26" s="23">
        <f>0.2*C7*12+1000</f>
        <v>5032.4800000000005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2.33*C7*12</f>
        <v>46978.39200000001</v>
      </c>
    </row>
    <row r="29" spans="1:5" ht="15">
      <c r="A29" s="57" t="s">
        <v>19</v>
      </c>
      <c r="B29" s="58"/>
      <c r="C29" s="58"/>
      <c r="D29" s="59"/>
      <c r="E29" s="23">
        <f>0.71*C7*12</f>
        <v>14315.304</v>
      </c>
    </row>
    <row r="30" spans="1:5" ht="15">
      <c r="A30" s="57" t="s">
        <v>20</v>
      </c>
      <c r="B30" s="58"/>
      <c r="C30" s="58"/>
      <c r="D30" s="59"/>
      <c r="E30" s="23">
        <f>0.2*C7*12+1000</f>
        <v>5032.4800000000005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0.16*C7*12+2141.36</f>
        <v>5367.344</v>
      </c>
    </row>
    <row r="33" spans="1:5" ht="15">
      <c r="A33" s="57" t="s">
        <v>33</v>
      </c>
      <c r="B33" s="58"/>
      <c r="C33" s="58"/>
      <c r="D33" s="59"/>
      <c r="E33" s="23">
        <f>0.8*C7*12</f>
        <v>16129.920000000002</v>
      </c>
    </row>
    <row r="34" spans="1:5" ht="15">
      <c r="A34" s="57" t="s">
        <v>34</v>
      </c>
      <c r="B34" s="58"/>
      <c r="C34" s="58"/>
      <c r="D34" s="59"/>
      <c r="E34" s="23">
        <f>0.38*C7*12</f>
        <v>7661.7119999999995</v>
      </c>
    </row>
    <row r="35" spans="1:5" ht="15">
      <c r="A35" s="57" t="s">
        <v>123</v>
      </c>
      <c r="B35" s="58"/>
      <c r="C35" s="58"/>
      <c r="D35" s="59"/>
      <c r="E35" s="23">
        <f>0.02*C7*12+500</f>
        <v>903.248</v>
      </c>
    </row>
    <row r="36" spans="1:5" ht="15">
      <c r="A36" s="57" t="s">
        <v>124</v>
      </c>
      <c r="B36" s="58"/>
      <c r="C36" s="58"/>
      <c r="D36" s="59"/>
      <c r="E36" s="23">
        <f>0.28*C7*12+1000</f>
        <v>6645.472000000001</v>
      </c>
    </row>
    <row r="37" spans="1:5" ht="15.75">
      <c r="A37" s="54" t="s">
        <v>59</v>
      </c>
      <c r="B37" s="55"/>
      <c r="C37" s="55"/>
      <c r="D37" s="56"/>
      <c r="E37" s="23">
        <f>1.5*C7*12</f>
        <v>30243.600000000002</v>
      </c>
    </row>
    <row r="38" spans="1:5" ht="15.75">
      <c r="A38" s="54" t="s">
        <v>37</v>
      </c>
      <c r="B38" s="55"/>
      <c r="C38" s="55"/>
      <c r="D38" s="56"/>
      <c r="E38" s="23">
        <f>1.91*C7*12</f>
        <v>38510.183999999994</v>
      </c>
    </row>
    <row r="39" spans="1:5" ht="15.75">
      <c r="A39" s="54" t="s">
        <v>38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3.59*C7*12</f>
        <v>72383.016</v>
      </c>
    </row>
    <row r="41" spans="1:5" ht="15">
      <c r="A41" s="57" t="s">
        <v>19</v>
      </c>
      <c r="B41" s="58"/>
      <c r="C41" s="58"/>
      <c r="D41" s="59"/>
      <c r="E41" s="23">
        <f>1.08*C7*12</f>
        <v>21775.392000000003</v>
      </c>
    </row>
    <row r="42" spans="1:5" ht="15.75">
      <c r="A42" s="54" t="s">
        <v>39</v>
      </c>
      <c r="B42" s="55"/>
      <c r="C42" s="55"/>
      <c r="D42" s="56"/>
      <c r="E42" s="23"/>
    </row>
    <row r="43" spans="1:5" ht="15">
      <c r="A43" s="57" t="s">
        <v>18</v>
      </c>
      <c r="B43" s="58"/>
      <c r="C43" s="58"/>
      <c r="D43" s="59"/>
      <c r="E43" s="23">
        <f>1.09*C7*12</f>
        <v>21977.016000000003</v>
      </c>
    </row>
    <row r="44" spans="1:5" ht="15">
      <c r="A44" s="57" t="s">
        <v>19</v>
      </c>
      <c r="B44" s="58"/>
      <c r="C44" s="58"/>
      <c r="D44" s="59"/>
      <c r="E44" s="23">
        <f>0.33*C7*12</f>
        <v>6653.592000000001</v>
      </c>
    </row>
    <row r="45" spans="1:5" ht="15.75">
      <c r="A45" s="46" t="s">
        <v>44</v>
      </c>
      <c r="B45" s="47"/>
      <c r="C45" s="47"/>
      <c r="D45" s="48"/>
      <c r="E45" s="49">
        <f>2.89*C7*12+1201.06</f>
        <v>59470.396</v>
      </c>
    </row>
    <row r="46" spans="1:5" ht="12.75" customHeight="1">
      <c r="A46" s="31" t="s">
        <v>45</v>
      </c>
      <c r="B46" s="29"/>
      <c r="C46" s="29"/>
      <c r="D46" s="30"/>
      <c r="E46" s="5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40">
    <mergeCell ref="E16:E17"/>
    <mergeCell ref="A45:D45"/>
    <mergeCell ref="A41:D41"/>
    <mergeCell ref="A42:D42"/>
    <mergeCell ref="A19:D19"/>
    <mergeCell ref="E45:E46"/>
    <mergeCell ref="E21:E22"/>
    <mergeCell ref="A43:D43"/>
    <mergeCell ref="A32:D32"/>
    <mergeCell ref="A39:D39"/>
    <mergeCell ref="A44:D44"/>
    <mergeCell ref="A31:D31"/>
    <mergeCell ref="A23:D23"/>
    <mergeCell ref="A24:D24"/>
    <mergeCell ref="A25:D25"/>
    <mergeCell ref="A27:D27"/>
    <mergeCell ref="A28:D28"/>
    <mergeCell ref="A29:D29"/>
    <mergeCell ref="A30:D30"/>
    <mergeCell ref="A34:D34"/>
    <mergeCell ref="A16:D17"/>
    <mergeCell ref="A18:D18"/>
    <mergeCell ref="A40:D40"/>
    <mergeCell ref="A33:D33"/>
    <mergeCell ref="A38:D38"/>
    <mergeCell ref="A37:D37"/>
    <mergeCell ref="A35:D35"/>
    <mergeCell ref="A36:D36"/>
    <mergeCell ref="A26:D26"/>
    <mergeCell ref="A20:D20"/>
    <mergeCell ref="A21:D21"/>
    <mergeCell ref="A22:D22"/>
    <mergeCell ref="A47:B47"/>
    <mergeCell ref="A50:B50"/>
    <mergeCell ref="A6:B6"/>
    <mergeCell ref="A1:E1"/>
    <mergeCell ref="A2:E2"/>
    <mergeCell ref="A3:E3"/>
    <mergeCell ref="A4:E4"/>
    <mergeCell ref="A7:B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8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75390625" style="0" customWidth="1"/>
    <col min="5" max="5" width="19.625" style="0" customWidth="1"/>
    <col min="7" max="7" width="9.625" style="0" bestFit="1" customWidth="1"/>
    <col min="10" max="10" width="10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49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26</v>
      </c>
      <c r="B6" s="75"/>
      <c r="C6" s="2"/>
      <c r="D6" s="2"/>
    </row>
    <row r="7" spans="1:4" ht="15">
      <c r="A7" s="75" t="s">
        <v>56</v>
      </c>
      <c r="B7" s="75"/>
      <c r="C7" s="34">
        <v>925.4</v>
      </c>
      <c r="D7" s="2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24746.76</v>
      </c>
      <c r="C14" s="15">
        <v>251353.96</v>
      </c>
      <c r="D14" s="15">
        <v>253366.17</v>
      </c>
      <c r="E14" s="15">
        <f>B14+C14-D14</f>
        <v>22734.54999999996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251353.96</v>
      </c>
    </row>
    <row r="19" spans="1:5" ht="12.75">
      <c r="A19" s="63" t="s">
        <v>13</v>
      </c>
      <c r="B19" s="64"/>
      <c r="C19" s="64"/>
      <c r="D19" s="65"/>
      <c r="E19" s="27">
        <f>C14</f>
        <v>251353.96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255618.99799999993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2.56*C7*12</f>
        <v>28428.288</v>
      </c>
    </row>
    <row r="25" spans="1:5" ht="15">
      <c r="A25" s="57" t="s">
        <v>19</v>
      </c>
      <c r="B25" s="58"/>
      <c r="C25" s="58"/>
      <c r="D25" s="59"/>
      <c r="E25" s="23">
        <f>0.77*C7*12</f>
        <v>8550.696</v>
      </c>
    </row>
    <row r="26" spans="1:5" ht="15">
      <c r="A26" s="57" t="s">
        <v>20</v>
      </c>
      <c r="B26" s="58"/>
      <c r="C26" s="58"/>
      <c r="D26" s="59"/>
      <c r="E26" s="23">
        <f>0.68*C7*12-5000</f>
        <v>2551.264000000001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2.53*C7*12</f>
        <v>28095.143999999997</v>
      </c>
    </row>
    <row r="29" spans="1:5" ht="15">
      <c r="A29" s="57" t="s">
        <v>19</v>
      </c>
      <c r="B29" s="58"/>
      <c r="C29" s="58"/>
      <c r="D29" s="59"/>
      <c r="E29" s="23">
        <f>0.76*C7*12</f>
        <v>8439.648</v>
      </c>
    </row>
    <row r="30" spans="1:5" ht="15">
      <c r="A30" s="57" t="s">
        <v>20</v>
      </c>
      <c r="B30" s="58"/>
      <c r="C30" s="58"/>
      <c r="D30" s="59"/>
      <c r="E30" s="23">
        <f>0.45*C7*12-2000</f>
        <v>2997.16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</f>
        <v>1776.768</v>
      </c>
    </row>
    <row r="33" spans="1:5" ht="15">
      <c r="A33" s="57" t="s">
        <v>33</v>
      </c>
      <c r="B33" s="58"/>
      <c r="C33" s="58"/>
      <c r="D33" s="59"/>
      <c r="E33" s="23">
        <f>0.8*C7*12</f>
        <v>8883.84</v>
      </c>
    </row>
    <row r="34" spans="1:5" ht="15.75">
      <c r="A34" s="54" t="s">
        <v>59</v>
      </c>
      <c r="B34" s="55"/>
      <c r="C34" s="55"/>
      <c r="D34" s="56"/>
      <c r="E34" s="23">
        <f>1.5*C7*12</f>
        <v>16657.199999999997</v>
      </c>
    </row>
    <row r="35" spans="1:5" ht="15.75">
      <c r="A35" s="54" t="s">
        <v>37</v>
      </c>
      <c r="B35" s="55"/>
      <c r="C35" s="55"/>
      <c r="D35" s="56"/>
      <c r="E35" s="23">
        <f>1.91*C7*12</f>
        <v>21210.167999999998</v>
      </c>
    </row>
    <row r="36" spans="1:5" ht="15.75">
      <c r="A36" s="54" t="s">
        <v>38</v>
      </c>
      <c r="B36" s="55"/>
      <c r="C36" s="55"/>
      <c r="D36" s="56"/>
      <c r="E36" s="23"/>
    </row>
    <row r="37" spans="1:7" ht="15">
      <c r="A37" s="57" t="s">
        <v>18</v>
      </c>
      <c r="B37" s="58"/>
      <c r="C37" s="58"/>
      <c r="D37" s="59"/>
      <c r="E37" s="23">
        <f>5.28*C7*12</f>
        <v>58633.344</v>
      </c>
      <c r="G37" s="1"/>
    </row>
    <row r="38" spans="1:5" ht="15">
      <c r="A38" s="57" t="s">
        <v>19</v>
      </c>
      <c r="B38" s="58"/>
      <c r="C38" s="58"/>
      <c r="D38" s="59"/>
      <c r="E38" s="23">
        <f>1.59*C7*12</f>
        <v>17656.631999999998</v>
      </c>
    </row>
    <row r="39" spans="1:5" ht="15">
      <c r="A39" s="57" t="s">
        <v>40</v>
      </c>
      <c r="B39" s="58"/>
      <c r="C39" s="58"/>
      <c r="D39" s="59"/>
      <c r="E39" s="23">
        <f>0.1*C7*12</f>
        <v>1110.48</v>
      </c>
    </row>
    <row r="40" spans="1:5" ht="15.75">
      <c r="A40" s="54" t="s">
        <v>39</v>
      </c>
      <c r="B40" s="55"/>
      <c r="C40" s="55"/>
      <c r="D40" s="56"/>
      <c r="E40" s="23"/>
    </row>
    <row r="41" spans="1:5" ht="15">
      <c r="A41" s="57" t="s">
        <v>18</v>
      </c>
      <c r="B41" s="58"/>
      <c r="C41" s="58"/>
      <c r="D41" s="59"/>
      <c r="E41" s="23">
        <f>2.19*C7*12</f>
        <v>24319.512</v>
      </c>
    </row>
    <row r="42" spans="1:5" ht="15">
      <c r="A42" s="57" t="s">
        <v>19</v>
      </c>
      <c r="B42" s="58"/>
      <c r="C42" s="58"/>
      <c r="D42" s="59"/>
      <c r="E42" s="23">
        <f>0.66*C7*12</f>
        <v>7329.168</v>
      </c>
    </row>
    <row r="43" spans="1:5" ht="15.75">
      <c r="A43" s="46" t="s">
        <v>44</v>
      </c>
      <c r="B43" s="47"/>
      <c r="C43" s="47"/>
      <c r="D43" s="48"/>
      <c r="E43" s="49">
        <f>1.92*C7*12-2341.53</f>
        <v>18979.685999999998</v>
      </c>
    </row>
    <row r="44" spans="1:5" ht="15.75" customHeight="1">
      <c r="A44" s="31" t="s">
        <v>45</v>
      </c>
      <c r="B44" s="29"/>
      <c r="C44" s="29"/>
      <c r="D44" s="30"/>
      <c r="E44" s="5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2:D42"/>
    <mergeCell ref="E16:E17"/>
    <mergeCell ref="A43:D43"/>
    <mergeCell ref="A38:D38"/>
    <mergeCell ref="A39:D39"/>
    <mergeCell ref="A40:D40"/>
    <mergeCell ref="A19:D19"/>
    <mergeCell ref="E21:E22"/>
    <mergeCell ref="E43:E44"/>
    <mergeCell ref="A41:D41"/>
    <mergeCell ref="A29:D29"/>
    <mergeCell ref="A30:D30"/>
    <mergeCell ref="A32:D32"/>
    <mergeCell ref="A36:D36"/>
    <mergeCell ref="A37:D37"/>
    <mergeCell ref="A33:D33"/>
    <mergeCell ref="A34:D34"/>
    <mergeCell ref="A35:D35"/>
    <mergeCell ref="A26:D26"/>
    <mergeCell ref="A22:D22"/>
    <mergeCell ref="A16:D17"/>
    <mergeCell ref="A18:D18"/>
    <mergeCell ref="A31:D31"/>
    <mergeCell ref="A23:D23"/>
    <mergeCell ref="A24:D24"/>
    <mergeCell ref="A25:D25"/>
    <mergeCell ref="A27:D27"/>
    <mergeCell ref="A28:D28"/>
    <mergeCell ref="A48:B48"/>
    <mergeCell ref="A51:B51"/>
    <mergeCell ref="A6:B6"/>
    <mergeCell ref="A7:B7"/>
    <mergeCell ref="A1:E1"/>
    <mergeCell ref="A2:E2"/>
    <mergeCell ref="A3:E3"/>
    <mergeCell ref="A4:E4"/>
    <mergeCell ref="A20:D20"/>
    <mergeCell ref="A21:D21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43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111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112</v>
      </c>
      <c r="B6" s="75"/>
      <c r="C6" s="2"/>
      <c r="D6" s="2"/>
    </row>
    <row r="7" spans="1:4" ht="15" customHeight="1">
      <c r="A7" s="75" t="s">
        <v>56</v>
      </c>
      <c r="B7" s="75"/>
      <c r="C7" s="37">
        <v>713.4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73858.72</v>
      </c>
      <c r="C14" s="15">
        <v>129892.83</v>
      </c>
      <c r="D14" s="15">
        <v>154572.35</v>
      </c>
      <c r="E14" s="15">
        <f>B14+C14-D14</f>
        <v>49179.19999999998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129892.83</v>
      </c>
    </row>
    <row r="19" spans="1:5" ht="12.75">
      <c r="A19" s="63" t="s">
        <v>13</v>
      </c>
      <c r="B19" s="64"/>
      <c r="C19" s="64"/>
      <c r="D19" s="65"/>
      <c r="E19" s="27">
        <f>C14</f>
        <v>129892.83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132096.889776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2225.808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4648.88</v>
      </c>
    </row>
    <row r="26" spans="1:5" ht="15.75">
      <c r="A26" s="54" t="s">
        <v>99</v>
      </c>
      <c r="B26" s="55"/>
      <c r="C26" s="55"/>
      <c r="D26" s="56"/>
      <c r="E26" s="23">
        <f>0.8*C7*12-1000</f>
        <v>5848.64</v>
      </c>
    </row>
    <row r="27" spans="1:5" ht="15.75">
      <c r="A27" s="54" t="s">
        <v>59</v>
      </c>
      <c r="B27" s="55"/>
      <c r="C27" s="55"/>
      <c r="D27" s="56"/>
      <c r="E27" s="23">
        <f>2.7*C7*12*0.797</f>
        <v>18421.985520000002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8.18*C7*12*0.797</f>
        <v>55811.79316799999</v>
      </c>
    </row>
    <row r="30" spans="1:5" ht="15">
      <c r="A30" s="57" t="s">
        <v>19</v>
      </c>
      <c r="B30" s="58"/>
      <c r="C30" s="58"/>
      <c r="D30" s="59"/>
      <c r="E30" s="23">
        <f>2.47*C7*12*0.797</f>
        <v>16852.705272000003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7761.35+1000</f>
        <v>8761.35</v>
      </c>
    </row>
    <row r="33" spans="1:5" ht="15">
      <c r="A33" s="57" t="s">
        <v>19</v>
      </c>
      <c r="B33" s="58"/>
      <c r="C33" s="58"/>
      <c r="D33" s="59"/>
      <c r="E33" s="23">
        <f>2343.93+302</f>
        <v>2645.93</v>
      </c>
    </row>
    <row r="34" spans="1:5" ht="15.75">
      <c r="A34" s="46" t="s">
        <v>44</v>
      </c>
      <c r="B34" s="47"/>
      <c r="C34" s="47"/>
      <c r="D34" s="48"/>
      <c r="E34" s="49">
        <f>2.41*C7*12*0.797+436.47</f>
        <v>16879.797816000002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  <row r="43" spans="1:4" ht="12.75">
      <c r="A43" s="45"/>
      <c r="B43" s="45"/>
      <c r="D43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40:B40"/>
    <mergeCell ref="A43:B43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G54"/>
  <sheetViews>
    <sheetView zoomScalePageLayoutView="0" workbookViewId="0" topLeftCell="A18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00390625" style="0" customWidth="1"/>
    <col min="5" max="5" width="19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48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25</v>
      </c>
      <c r="B6" s="75"/>
      <c r="C6" s="2"/>
      <c r="D6" s="2"/>
    </row>
    <row r="7" spans="1:4" ht="15">
      <c r="A7" s="75" t="s">
        <v>56</v>
      </c>
      <c r="B7" s="75"/>
      <c r="C7" s="34">
        <v>929.9</v>
      </c>
      <c r="D7" s="2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21612.09</v>
      </c>
      <c r="C14" s="15">
        <v>246109.65</v>
      </c>
      <c r="D14" s="15">
        <v>236153.67</v>
      </c>
      <c r="E14" s="15">
        <f>B14+C14-D14</f>
        <v>31568.069999999978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246109.65</v>
      </c>
    </row>
    <row r="19" spans="1:5" ht="12.75">
      <c r="A19" s="63" t="s">
        <v>13</v>
      </c>
      <c r="B19" s="64"/>
      <c r="C19" s="64"/>
      <c r="D19" s="65"/>
      <c r="E19" s="32">
        <f>C14</f>
        <v>246109.65</v>
      </c>
    </row>
    <row r="20" spans="1:5" ht="24.75" customHeight="1">
      <c r="A20" s="66" t="s">
        <v>14</v>
      </c>
      <c r="B20" s="67"/>
      <c r="C20" s="67"/>
      <c r="D20" s="68"/>
      <c r="E20" s="26">
        <f>SUM(E24:E45)</f>
        <v>250285.70799999998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2.1*C7*12</f>
        <v>23433.48</v>
      </c>
    </row>
    <row r="25" spans="1:5" ht="15">
      <c r="A25" s="57" t="s">
        <v>19</v>
      </c>
      <c r="B25" s="58"/>
      <c r="C25" s="58"/>
      <c r="D25" s="59"/>
      <c r="E25" s="23">
        <f>0.64*C7*12</f>
        <v>7141.632</v>
      </c>
    </row>
    <row r="26" spans="1:5" ht="15">
      <c r="A26" s="57" t="s">
        <v>20</v>
      </c>
      <c r="B26" s="58"/>
      <c r="C26" s="58"/>
      <c r="D26" s="59"/>
      <c r="E26" s="23">
        <f>0.68*C7*12-4000</f>
        <v>3587.9840000000004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2.18*C7*12</f>
        <v>24326.184</v>
      </c>
    </row>
    <row r="29" spans="1:5" ht="15">
      <c r="A29" s="57" t="s">
        <v>19</v>
      </c>
      <c r="B29" s="58"/>
      <c r="C29" s="58"/>
      <c r="D29" s="59"/>
      <c r="E29" s="23">
        <f>0.66*C7*12</f>
        <v>7364.808000000001</v>
      </c>
    </row>
    <row r="30" spans="1:5" ht="15">
      <c r="A30" s="57" t="s">
        <v>20</v>
      </c>
      <c r="B30" s="58"/>
      <c r="C30" s="58"/>
      <c r="D30" s="59"/>
      <c r="E30" s="23">
        <f>0.45*C7*12-1000</f>
        <v>4021.46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0.16*C7*12+2000</f>
        <v>3785.408</v>
      </c>
    </row>
    <row r="33" spans="1:5" ht="15">
      <c r="A33" s="57" t="s">
        <v>33</v>
      </c>
      <c r="B33" s="58"/>
      <c r="C33" s="58"/>
      <c r="D33" s="59"/>
      <c r="E33" s="23">
        <f>0.9*C7*12</f>
        <v>10042.92</v>
      </c>
    </row>
    <row r="34" spans="1:5" ht="15">
      <c r="A34" s="57" t="s">
        <v>124</v>
      </c>
      <c r="B34" s="58"/>
      <c r="C34" s="58"/>
      <c r="D34" s="59"/>
      <c r="E34" s="23">
        <f>0.85*C7*12</f>
        <v>9484.98</v>
      </c>
    </row>
    <row r="35" spans="1:5" ht="15.75">
      <c r="A35" s="54" t="s">
        <v>59</v>
      </c>
      <c r="B35" s="55"/>
      <c r="C35" s="55"/>
      <c r="D35" s="56"/>
      <c r="E35" s="23">
        <f>1.65*C7*12</f>
        <v>18412.019999999997</v>
      </c>
    </row>
    <row r="36" spans="1:5" ht="15.75">
      <c r="A36" s="54" t="s">
        <v>37</v>
      </c>
      <c r="B36" s="55"/>
      <c r="C36" s="55"/>
      <c r="D36" s="56"/>
      <c r="E36" s="23">
        <f>8875.08-78.68</f>
        <v>8796.4</v>
      </c>
    </row>
    <row r="37" spans="1:5" ht="15.75">
      <c r="A37" s="54" t="s">
        <v>38</v>
      </c>
      <c r="B37" s="55"/>
      <c r="C37" s="55"/>
      <c r="D37" s="56"/>
      <c r="E37" s="23"/>
    </row>
    <row r="38" spans="1:7" ht="15">
      <c r="A38" s="57" t="s">
        <v>18</v>
      </c>
      <c r="B38" s="58"/>
      <c r="C38" s="58"/>
      <c r="D38" s="59"/>
      <c r="E38" s="23">
        <f>5.2*C7*12</f>
        <v>58025.76000000001</v>
      </c>
      <c r="G38" s="1"/>
    </row>
    <row r="39" spans="1:5" ht="15">
      <c r="A39" s="57" t="s">
        <v>19</v>
      </c>
      <c r="B39" s="58"/>
      <c r="C39" s="58"/>
      <c r="D39" s="59"/>
      <c r="E39" s="23">
        <f>1.57*C7*12</f>
        <v>17519.316</v>
      </c>
    </row>
    <row r="40" spans="1:5" ht="15">
      <c r="A40" s="57" t="s">
        <v>40</v>
      </c>
      <c r="B40" s="58"/>
      <c r="C40" s="58"/>
      <c r="D40" s="59"/>
      <c r="E40" s="23">
        <f>0.1*C7*12</f>
        <v>1115.88</v>
      </c>
    </row>
    <row r="41" spans="1:5" ht="15.75">
      <c r="A41" s="54" t="s">
        <v>39</v>
      </c>
      <c r="B41" s="55"/>
      <c r="C41" s="55"/>
      <c r="D41" s="56"/>
      <c r="E41" s="23"/>
    </row>
    <row r="42" spans="1:5" ht="15">
      <c r="A42" s="57" t="s">
        <v>18</v>
      </c>
      <c r="B42" s="58"/>
      <c r="C42" s="58"/>
      <c r="D42" s="59"/>
      <c r="E42" s="23">
        <f>2.19*C7*12</f>
        <v>24437.772</v>
      </c>
    </row>
    <row r="43" spans="1:5" ht="15">
      <c r="A43" s="57" t="s">
        <v>19</v>
      </c>
      <c r="B43" s="58"/>
      <c r="C43" s="58"/>
      <c r="D43" s="59"/>
      <c r="E43" s="23">
        <f>0.66*C7*12</f>
        <v>7364.808000000001</v>
      </c>
    </row>
    <row r="44" spans="1:5" ht="15.75">
      <c r="A44" s="46" t="s">
        <v>44</v>
      </c>
      <c r="B44" s="47"/>
      <c r="C44" s="47"/>
      <c r="D44" s="48"/>
      <c r="E44" s="49">
        <f>1.92*C7*12</f>
        <v>21424.896</v>
      </c>
    </row>
    <row r="45" spans="1:5" ht="17.25" customHeight="1">
      <c r="A45" s="31" t="s">
        <v>45</v>
      </c>
      <c r="B45" s="29"/>
      <c r="C45" s="29"/>
      <c r="D45" s="30"/>
      <c r="E45" s="50"/>
    </row>
    <row r="48" ht="12.75">
      <c r="E48" s="10"/>
    </row>
    <row r="51" spans="1:4" ht="25.5" customHeight="1">
      <c r="A51" s="45" t="s">
        <v>140</v>
      </c>
      <c r="B51" s="45"/>
      <c r="D51" s="44" t="s">
        <v>141</v>
      </c>
    </row>
    <row r="54" spans="1:4" ht="12.75">
      <c r="A54" s="45"/>
      <c r="B54" s="45"/>
      <c r="D54" s="44"/>
    </row>
  </sheetData>
  <sheetProtection/>
  <mergeCells count="39">
    <mergeCell ref="E21:E22"/>
    <mergeCell ref="A27:D27"/>
    <mergeCell ref="A33:D33"/>
    <mergeCell ref="A29:D29"/>
    <mergeCell ref="E44:E45"/>
    <mergeCell ref="A42:D42"/>
    <mergeCell ref="A32:D32"/>
    <mergeCell ref="A35:D35"/>
    <mergeCell ref="A43:D43"/>
    <mergeCell ref="A31:D31"/>
    <mergeCell ref="A7:B7"/>
    <mergeCell ref="A18:D18"/>
    <mergeCell ref="A38:D38"/>
    <mergeCell ref="A22:D22"/>
    <mergeCell ref="E16:E17"/>
    <mergeCell ref="A44:D44"/>
    <mergeCell ref="A39:D39"/>
    <mergeCell ref="A40:D40"/>
    <mergeCell ref="A41:D41"/>
    <mergeCell ref="A19:D19"/>
    <mergeCell ref="A1:E1"/>
    <mergeCell ref="A2:E2"/>
    <mergeCell ref="A3:E3"/>
    <mergeCell ref="A4:E4"/>
    <mergeCell ref="A16:D17"/>
    <mergeCell ref="A28:D28"/>
    <mergeCell ref="A23:D23"/>
    <mergeCell ref="A24:D24"/>
    <mergeCell ref="A25:D25"/>
    <mergeCell ref="A6:B6"/>
    <mergeCell ref="A51:B51"/>
    <mergeCell ref="A54:B54"/>
    <mergeCell ref="A36:D36"/>
    <mergeCell ref="A30:D30"/>
    <mergeCell ref="A20:D20"/>
    <mergeCell ref="A21:D21"/>
    <mergeCell ref="A26:D26"/>
    <mergeCell ref="A37:D37"/>
    <mergeCell ref="A34:D34"/>
  </mergeCells>
  <printOptions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zoomScalePageLayoutView="0" workbookViewId="0" topLeftCell="A16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30.75390625" style="0" customWidth="1"/>
    <col min="5" max="5" width="19.00390625" style="0" customWidth="1"/>
    <col min="6" max="7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47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1:4" ht="13.5" customHeight="1">
      <c r="A5" s="11"/>
      <c r="B5" s="11"/>
      <c r="C5" s="11"/>
      <c r="D5" s="11"/>
    </row>
    <row r="6" spans="1:4" ht="17.25" customHeight="1">
      <c r="A6" s="75" t="s">
        <v>24</v>
      </c>
      <c r="B6" s="75"/>
      <c r="C6" s="2"/>
      <c r="D6" s="2"/>
    </row>
    <row r="7" spans="1:4" ht="15">
      <c r="A7" s="75" t="s">
        <v>56</v>
      </c>
      <c r="B7" s="75"/>
      <c r="C7" s="34">
        <v>934.6</v>
      </c>
      <c r="D7" s="33" t="s">
        <v>57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34222.91</v>
      </c>
      <c r="C14" s="15">
        <v>267594.84</v>
      </c>
      <c r="D14" s="15">
        <v>272053.54</v>
      </c>
      <c r="E14" s="15">
        <f>B14+C14-D14</f>
        <v>29764.21000000002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267594.84</v>
      </c>
    </row>
    <row r="19" spans="1:5" ht="14.25">
      <c r="A19" s="63" t="s">
        <v>13</v>
      </c>
      <c r="B19" s="64"/>
      <c r="C19" s="64"/>
      <c r="D19" s="65"/>
      <c r="E19" s="15">
        <f>C14</f>
        <v>267594.84</v>
      </c>
    </row>
    <row r="20" spans="1:5" ht="24.75" customHeight="1">
      <c r="A20" s="66" t="s">
        <v>14</v>
      </c>
      <c r="B20" s="67"/>
      <c r="C20" s="67"/>
      <c r="D20" s="68"/>
      <c r="E20" s="26">
        <f>SUM(E24:E44)</f>
        <v>272135.462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2.56*C7*12</f>
        <v>28710.912</v>
      </c>
    </row>
    <row r="25" spans="1:5" ht="15">
      <c r="A25" s="57" t="s">
        <v>19</v>
      </c>
      <c r="B25" s="58"/>
      <c r="C25" s="58"/>
      <c r="D25" s="59"/>
      <c r="E25" s="23">
        <f>0.77*C7*12</f>
        <v>8635.704000000002</v>
      </c>
    </row>
    <row r="26" spans="1:5" ht="15">
      <c r="A26" s="57" t="s">
        <v>20</v>
      </c>
      <c r="B26" s="58"/>
      <c r="C26" s="58"/>
      <c r="D26" s="59"/>
      <c r="E26" s="23">
        <f>0.68*C7*12-2000</f>
        <v>5626.336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2.53*C7*12</f>
        <v>28374.456</v>
      </c>
    </row>
    <row r="29" spans="1:5" ht="15">
      <c r="A29" s="57" t="s">
        <v>19</v>
      </c>
      <c r="B29" s="58"/>
      <c r="C29" s="58"/>
      <c r="D29" s="59"/>
      <c r="E29" s="23">
        <f>0.76*C7*12</f>
        <v>8523.552</v>
      </c>
    </row>
    <row r="30" spans="1:5" ht="15">
      <c r="A30" s="57" t="s">
        <v>20</v>
      </c>
      <c r="B30" s="58"/>
      <c r="C30" s="58"/>
      <c r="D30" s="59"/>
      <c r="E30" s="23">
        <f>0.45*C7*12</f>
        <v>5046.84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0.16*C7*12+3000</f>
        <v>4794.432</v>
      </c>
    </row>
    <row r="33" spans="1:5" ht="15">
      <c r="A33" s="57" t="s">
        <v>33</v>
      </c>
      <c r="B33" s="58"/>
      <c r="C33" s="58"/>
      <c r="D33" s="59"/>
      <c r="E33" s="23">
        <f>0.8*C7*12+2000</f>
        <v>10972.16</v>
      </c>
    </row>
    <row r="34" spans="1:5" ht="15.75">
      <c r="A34" s="54" t="s">
        <v>59</v>
      </c>
      <c r="B34" s="55"/>
      <c r="C34" s="55"/>
      <c r="D34" s="56"/>
      <c r="E34" s="23">
        <f>1.5*C7*12+1000</f>
        <v>17822.800000000003</v>
      </c>
    </row>
    <row r="35" spans="1:5" ht="15.75">
      <c r="A35" s="54" t="s">
        <v>37</v>
      </c>
      <c r="B35" s="55"/>
      <c r="C35" s="55"/>
      <c r="D35" s="56"/>
      <c r="E35" s="23">
        <f>1.91*C7*12</f>
        <v>21421.032</v>
      </c>
    </row>
    <row r="36" spans="1:5" ht="15.75">
      <c r="A36" s="54" t="s">
        <v>38</v>
      </c>
      <c r="B36" s="55"/>
      <c r="C36" s="55"/>
      <c r="D36" s="56"/>
      <c r="E36" s="23"/>
    </row>
    <row r="37" spans="1:7" ht="15">
      <c r="A37" s="57" t="s">
        <v>18</v>
      </c>
      <c r="B37" s="58"/>
      <c r="C37" s="58"/>
      <c r="D37" s="59"/>
      <c r="E37" s="23">
        <f>5.28*C7*12</f>
        <v>59216.256</v>
      </c>
      <c r="G37" s="1"/>
    </row>
    <row r="38" spans="1:5" ht="15">
      <c r="A38" s="57" t="s">
        <v>19</v>
      </c>
      <c r="B38" s="58"/>
      <c r="C38" s="58"/>
      <c r="D38" s="59"/>
      <c r="E38" s="23">
        <f>1.59*C7*12</f>
        <v>17832.168</v>
      </c>
    </row>
    <row r="39" spans="1:5" ht="15">
      <c r="A39" s="57" t="s">
        <v>40</v>
      </c>
      <c r="B39" s="58"/>
      <c r="C39" s="58"/>
      <c r="D39" s="59"/>
      <c r="E39" s="23">
        <f>0.1*C7*12</f>
        <v>1121.52</v>
      </c>
    </row>
    <row r="40" spans="1:5" ht="15.75">
      <c r="A40" s="54" t="s">
        <v>39</v>
      </c>
      <c r="B40" s="55"/>
      <c r="C40" s="55"/>
      <c r="D40" s="56"/>
      <c r="E40" s="23"/>
    </row>
    <row r="41" spans="1:5" ht="15">
      <c r="A41" s="57" t="s">
        <v>18</v>
      </c>
      <c r="B41" s="58"/>
      <c r="C41" s="58"/>
      <c r="D41" s="59"/>
      <c r="E41" s="23">
        <f>2.19*C7*12</f>
        <v>24561.288</v>
      </c>
    </row>
    <row r="42" spans="1:5" ht="15">
      <c r="A42" s="57" t="s">
        <v>19</v>
      </c>
      <c r="B42" s="58"/>
      <c r="C42" s="58"/>
      <c r="D42" s="59"/>
      <c r="E42" s="23">
        <f>0.66*C7*12</f>
        <v>7402.032</v>
      </c>
    </row>
    <row r="43" spans="1:5" ht="15.75">
      <c r="A43" s="46" t="s">
        <v>44</v>
      </c>
      <c r="B43" s="47"/>
      <c r="C43" s="47"/>
      <c r="D43" s="48"/>
      <c r="E43" s="49">
        <f>1.92*C7*12+540.79</f>
        <v>22073.974000000002</v>
      </c>
    </row>
    <row r="44" spans="1:5" ht="11.25" customHeight="1">
      <c r="A44" s="31" t="s">
        <v>45</v>
      </c>
      <c r="B44" s="29"/>
      <c r="C44" s="29"/>
      <c r="D44" s="30"/>
      <c r="E44" s="50"/>
    </row>
    <row r="47" ht="12.75">
      <c r="E47" s="10"/>
    </row>
    <row r="49" spans="1:4" ht="25.5" customHeight="1">
      <c r="A49" s="45" t="s">
        <v>140</v>
      </c>
      <c r="B49" s="45"/>
      <c r="D49" s="44" t="s">
        <v>141</v>
      </c>
    </row>
    <row r="52" spans="1:4" ht="12.75">
      <c r="A52" s="45"/>
      <c r="B52" s="45"/>
      <c r="D52" s="44"/>
    </row>
  </sheetData>
  <sheetProtection/>
  <mergeCells count="38">
    <mergeCell ref="E43:E44"/>
    <mergeCell ref="A34:D34"/>
    <mergeCell ref="A42:D42"/>
    <mergeCell ref="E16:E17"/>
    <mergeCell ref="A43:D43"/>
    <mergeCell ref="A38:D38"/>
    <mergeCell ref="A39:D39"/>
    <mergeCell ref="A40:D40"/>
    <mergeCell ref="A19:D19"/>
    <mergeCell ref="A25:D25"/>
    <mergeCell ref="E21:E22"/>
    <mergeCell ref="A22:D22"/>
    <mergeCell ref="A32:D32"/>
    <mergeCell ref="A27:D27"/>
    <mergeCell ref="A28:D28"/>
    <mergeCell ref="A29:D29"/>
    <mergeCell ref="A31:D31"/>
    <mergeCell ref="A30:D30"/>
    <mergeCell ref="A20:D20"/>
    <mergeCell ref="A21:D21"/>
    <mergeCell ref="A26:D26"/>
    <mergeCell ref="A41:D41"/>
    <mergeCell ref="A36:D36"/>
    <mergeCell ref="A37:D37"/>
    <mergeCell ref="A33:D33"/>
    <mergeCell ref="A35:D35"/>
    <mergeCell ref="A23:D23"/>
    <mergeCell ref="A24:D24"/>
    <mergeCell ref="A49:B49"/>
    <mergeCell ref="A52:B52"/>
    <mergeCell ref="A1:E1"/>
    <mergeCell ref="A2:E2"/>
    <mergeCell ref="A3:E3"/>
    <mergeCell ref="A4:E4"/>
    <mergeCell ref="A16:D17"/>
    <mergeCell ref="A18:D18"/>
    <mergeCell ref="A6:B6"/>
    <mergeCell ref="A7:B7"/>
  </mergeCells>
  <printOptions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46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23</v>
      </c>
      <c r="B6" s="75"/>
      <c r="C6" s="2"/>
      <c r="D6" s="2"/>
    </row>
    <row r="7" spans="1:4" ht="15">
      <c r="A7" s="75" t="s">
        <v>58</v>
      </c>
      <c r="B7" s="75"/>
      <c r="C7" s="21">
        <v>931.7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34826.22</v>
      </c>
      <c r="C14" s="15">
        <v>266764.44</v>
      </c>
      <c r="D14" s="15">
        <v>265651.46</v>
      </c>
      <c r="E14" s="15">
        <f>B14+C14-D14</f>
        <v>35939.20000000001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266764.44</v>
      </c>
    </row>
    <row r="19" spans="1:5" ht="12.75">
      <c r="A19" s="63" t="s">
        <v>13</v>
      </c>
      <c r="B19" s="64"/>
      <c r="C19" s="64"/>
      <c r="D19" s="65"/>
      <c r="E19" s="17">
        <f>C14</f>
        <v>266764.44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271290.97400000005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2.56*C7*12</f>
        <v>28621.824</v>
      </c>
    </row>
    <row r="25" spans="1:5" ht="15">
      <c r="A25" s="57" t="s">
        <v>19</v>
      </c>
      <c r="B25" s="58"/>
      <c r="C25" s="58"/>
      <c r="D25" s="59"/>
      <c r="E25" s="23">
        <f>0.77*C7*12</f>
        <v>8608.908000000001</v>
      </c>
    </row>
    <row r="26" spans="1:5" ht="15">
      <c r="A26" s="57" t="s">
        <v>20</v>
      </c>
      <c r="B26" s="58"/>
      <c r="C26" s="58"/>
      <c r="D26" s="59"/>
      <c r="E26" s="23">
        <f>0.68*C7*12-3500</f>
        <v>4102.6720000000005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2.53*C7*12</f>
        <v>28286.412</v>
      </c>
    </row>
    <row r="29" spans="1:5" ht="15">
      <c r="A29" s="57" t="s">
        <v>19</v>
      </c>
      <c r="B29" s="58"/>
      <c r="C29" s="58"/>
      <c r="D29" s="59"/>
      <c r="E29" s="23">
        <f>0.76*C7*12</f>
        <v>8497.104000000001</v>
      </c>
    </row>
    <row r="30" spans="1:5" ht="15">
      <c r="A30" s="57" t="s">
        <v>20</v>
      </c>
      <c r="B30" s="58"/>
      <c r="C30" s="58"/>
      <c r="D30" s="59"/>
      <c r="E30" s="23">
        <f>0.45*C7*12</f>
        <v>5031.18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0.16*C7*12+3500</f>
        <v>5288.864</v>
      </c>
    </row>
    <row r="33" spans="1:5" ht="15">
      <c r="A33" s="57" t="s">
        <v>33</v>
      </c>
      <c r="B33" s="58"/>
      <c r="C33" s="58"/>
      <c r="D33" s="59"/>
      <c r="E33" s="23">
        <f>0.8*C7*12+1500</f>
        <v>10444.320000000002</v>
      </c>
    </row>
    <row r="34" spans="1:5" ht="15.75">
      <c r="A34" s="54" t="s">
        <v>59</v>
      </c>
      <c r="B34" s="55"/>
      <c r="C34" s="55"/>
      <c r="D34" s="56"/>
      <c r="E34" s="23">
        <f>1.5*C7*12+2000</f>
        <v>18770.600000000002</v>
      </c>
    </row>
    <row r="35" spans="1:5" ht="15.75">
      <c r="A35" s="54" t="s">
        <v>37</v>
      </c>
      <c r="B35" s="55"/>
      <c r="C35" s="55"/>
      <c r="D35" s="56"/>
      <c r="E35" s="23">
        <f>1.91*C7*12</f>
        <v>21354.564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5.28*C7*12</f>
        <v>59032.512</v>
      </c>
    </row>
    <row r="38" spans="1:5" ht="15">
      <c r="A38" s="57" t="s">
        <v>19</v>
      </c>
      <c r="B38" s="58"/>
      <c r="C38" s="58"/>
      <c r="D38" s="59"/>
      <c r="E38" s="23">
        <f>1.59*C7*12</f>
        <v>17776.836000000003</v>
      </c>
    </row>
    <row r="39" spans="1:5" ht="15">
      <c r="A39" s="57" t="s">
        <v>40</v>
      </c>
      <c r="B39" s="58"/>
      <c r="C39" s="58"/>
      <c r="D39" s="59"/>
      <c r="E39" s="23">
        <f>0.1*C7*12</f>
        <v>1118.0400000000002</v>
      </c>
    </row>
    <row r="40" spans="1:5" ht="15.75">
      <c r="A40" s="54" t="s">
        <v>39</v>
      </c>
      <c r="B40" s="55"/>
      <c r="C40" s="55"/>
      <c r="D40" s="56"/>
      <c r="E40" s="23"/>
    </row>
    <row r="41" spans="1:5" ht="15">
      <c r="A41" s="57" t="s">
        <v>18</v>
      </c>
      <c r="B41" s="58"/>
      <c r="C41" s="58"/>
      <c r="D41" s="59"/>
      <c r="E41" s="23">
        <f>2.19*C7*12</f>
        <v>24485.076</v>
      </c>
    </row>
    <row r="42" spans="1:5" ht="15">
      <c r="A42" s="57" t="s">
        <v>19</v>
      </c>
      <c r="B42" s="58"/>
      <c r="C42" s="58"/>
      <c r="D42" s="59"/>
      <c r="E42" s="23">
        <f>0.66*C7*12</f>
        <v>7379.064</v>
      </c>
    </row>
    <row r="43" spans="1:5" ht="15.75">
      <c r="A43" s="46" t="s">
        <v>44</v>
      </c>
      <c r="B43" s="47"/>
      <c r="C43" s="47"/>
      <c r="D43" s="48"/>
      <c r="E43" s="49">
        <f>1.92*C7*12+1000+26.63</f>
        <v>22492.998000000003</v>
      </c>
    </row>
    <row r="44" spans="1:5" ht="18" customHeight="1">
      <c r="A44" s="31" t="s">
        <v>45</v>
      </c>
      <c r="B44" s="29"/>
      <c r="C44" s="29"/>
      <c r="D44" s="30"/>
      <c r="E44" s="50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E43:E44"/>
    <mergeCell ref="A1:E1"/>
    <mergeCell ref="A2:E2"/>
    <mergeCell ref="A3:E3"/>
    <mergeCell ref="A4:E4"/>
    <mergeCell ref="A29:D29"/>
    <mergeCell ref="A30:D30"/>
    <mergeCell ref="A31:D31"/>
    <mergeCell ref="A32:D32"/>
    <mergeCell ref="A21:D21"/>
    <mergeCell ref="E16:E17"/>
    <mergeCell ref="A42:D42"/>
    <mergeCell ref="A23:D23"/>
    <mergeCell ref="A41:D41"/>
    <mergeCell ref="A19:D19"/>
    <mergeCell ref="E21:E22"/>
    <mergeCell ref="A18:D18"/>
    <mergeCell ref="A20:D20"/>
    <mergeCell ref="A22:D22"/>
    <mergeCell ref="A36:D36"/>
    <mergeCell ref="A6:B6"/>
    <mergeCell ref="A16:D17"/>
    <mergeCell ref="A7:B7"/>
    <mergeCell ref="A25:D25"/>
    <mergeCell ref="A35:D35"/>
    <mergeCell ref="A40:D40"/>
    <mergeCell ref="A33:D33"/>
    <mergeCell ref="A37:D37"/>
    <mergeCell ref="A38:D38"/>
    <mergeCell ref="A39:D39"/>
    <mergeCell ref="A48:B48"/>
    <mergeCell ref="A51:B51"/>
    <mergeCell ref="A24:D24"/>
    <mergeCell ref="A26:D26"/>
    <mergeCell ref="A27:D27"/>
    <mergeCell ref="A28:D28"/>
    <mergeCell ref="A43:D43"/>
    <mergeCell ref="A34:D34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119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120</v>
      </c>
      <c r="B6" s="75"/>
      <c r="C6" s="2"/>
      <c r="D6" s="2"/>
    </row>
    <row r="7" spans="1:4" ht="15">
      <c r="A7" s="75" t="s">
        <v>58</v>
      </c>
      <c r="B7" s="75"/>
      <c r="C7" s="21">
        <v>1195.85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113388.91</v>
      </c>
      <c r="C14" s="15">
        <v>315274.08</v>
      </c>
      <c r="D14" s="15">
        <v>304435.97</v>
      </c>
      <c r="E14" s="15">
        <f>B14+C14-D14</f>
        <v>124227.02000000002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315274.08</v>
      </c>
    </row>
    <row r="19" spans="1:5" ht="12.75">
      <c r="A19" s="63" t="s">
        <v>13</v>
      </c>
      <c r="B19" s="64"/>
      <c r="C19" s="64"/>
      <c r="D19" s="65"/>
      <c r="E19" s="17">
        <f>C14</f>
        <v>315274.08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320623.744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2.64*C7*12</f>
        <v>37884.528</v>
      </c>
      <c r="F24" s="35"/>
    </row>
    <row r="25" spans="1:6" ht="15">
      <c r="A25" s="57" t="s">
        <v>19</v>
      </c>
      <c r="B25" s="58"/>
      <c r="C25" s="58"/>
      <c r="D25" s="59"/>
      <c r="E25" s="42">
        <f>0.8*C7*12</f>
        <v>11480.16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5883.581999999999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2.33*C7*12</f>
        <v>33435.966</v>
      </c>
      <c r="F28" s="35"/>
    </row>
    <row r="29" spans="1:6" ht="15">
      <c r="A29" s="57" t="s">
        <v>19</v>
      </c>
      <c r="B29" s="58"/>
      <c r="C29" s="58"/>
      <c r="D29" s="59"/>
      <c r="E29" s="42">
        <f>0.7*C7*12</f>
        <v>10045.14</v>
      </c>
      <c r="F29" s="35"/>
    </row>
    <row r="30" spans="1:6" ht="15">
      <c r="A30" s="57" t="s">
        <v>20</v>
      </c>
      <c r="B30" s="58"/>
      <c r="C30" s="58"/>
      <c r="D30" s="59"/>
      <c r="E30" s="42">
        <f>0.51*C7*12-3000</f>
        <v>4318.601999999999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0.21*C7*12+3000</f>
        <v>6013.5419999999995</v>
      </c>
      <c r="F32" s="35"/>
    </row>
    <row r="33" spans="1:6" ht="15.75">
      <c r="A33" s="54" t="s">
        <v>59</v>
      </c>
      <c r="B33" s="55"/>
      <c r="C33" s="55"/>
      <c r="D33" s="56"/>
      <c r="E33" s="42">
        <f>1.75*C7*12</f>
        <v>25112.85</v>
      </c>
      <c r="F33" s="35"/>
    </row>
    <row r="34" spans="1:5" ht="15.75">
      <c r="A34" s="54" t="s">
        <v>37</v>
      </c>
      <c r="B34" s="55"/>
      <c r="C34" s="55"/>
      <c r="D34" s="56"/>
      <c r="E34" s="18">
        <f>1.97*C7*12</f>
        <v>28269.893999999997</v>
      </c>
    </row>
    <row r="35" spans="1:5" ht="15.75">
      <c r="A35" s="54" t="s">
        <v>100</v>
      </c>
      <c r="B35" s="55"/>
      <c r="C35" s="55"/>
      <c r="D35" s="56"/>
      <c r="E35" s="18">
        <f>0.18*C7*12+1000</f>
        <v>3583.036</v>
      </c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4.97*C7*12</f>
        <v>71320.49399999999</v>
      </c>
    </row>
    <row r="38" spans="1:5" ht="15">
      <c r="A38" s="57" t="s">
        <v>19</v>
      </c>
      <c r="B38" s="58"/>
      <c r="C38" s="58"/>
      <c r="D38" s="59"/>
      <c r="E38" s="18">
        <f>1.5*C7*12</f>
        <v>21525.3</v>
      </c>
    </row>
    <row r="39" spans="1:5" ht="15">
      <c r="A39" s="57" t="s">
        <v>40</v>
      </c>
      <c r="B39" s="58"/>
      <c r="C39" s="58"/>
      <c r="D39" s="59"/>
      <c r="E39" s="18">
        <f>0.07*C7*12+3000</f>
        <v>4004.514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2.32*C7*12</f>
        <v>33292.46399999999</v>
      </c>
    </row>
    <row r="42" spans="1:5" ht="15">
      <c r="A42" s="57" t="s">
        <v>19</v>
      </c>
      <c r="B42" s="58"/>
      <c r="C42" s="58"/>
      <c r="D42" s="59"/>
      <c r="E42" s="18">
        <f>0.7*C7*12</f>
        <v>10045.14</v>
      </c>
    </row>
    <row r="43" spans="1:5" ht="15.75">
      <c r="A43" s="46" t="s">
        <v>44</v>
      </c>
      <c r="B43" s="47"/>
      <c r="C43" s="47"/>
      <c r="D43" s="48"/>
      <c r="E43" s="88">
        <f>0.91*C7*12+1349.85</f>
        <v>14408.532000000001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0:D40"/>
    <mergeCell ref="A41:D41"/>
    <mergeCell ref="A42:D42"/>
    <mergeCell ref="A43:D43"/>
    <mergeCell ref="E43:E44"/>
    <mergeCell ref="A35:D35"/>
    <mergeCell ref="A33:D33"/>
    <mergeCell ref="A34:D34"/>
    <mergeCell ref="A36:D36"/>
    <mergeCell ref="A37:D37"/>
    <mergeCell ref="A38:D38"/>
    <mergeCell ref="A39:D39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8:B48"/>
    <mergeCell ref="A51:B51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20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125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126</v>
      </c>
      <c r="B6" s="75"/>
      <c r="C6" s="2"/>
      <c r="D6" s="2"/>
    </row>
    <row r="7" spans="1:4" ht="15">
      <c r="A7" s="75" t="s">
        <v>58</v>
      </c>
      <c r="B7" s="75"/>
      <c r="C7" s="21">
        <v>723.6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23085.71</v>
      </c>
      <c r="C14" s="15">
        <v>201537.12</v>
      </c>
      <c r="D14" s="15">
        <v>206404.5</v>
      </c>
      <c r="E14" s="15">
        <f>B14+C14-D14</f>
        <v>18218.329999999987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201537.12</v>
      </c>
    </row>
    <row r="19" spans="1:5" ht="12.75">
      <c r="A19" s="63" t="s">
        <v>13</v>
      </c>
      <c r="B19" s="64"/>
      <c r="C19" s="64"/>
      <c r="D19" s="65"/>
      <c r="E19" s="17">
        <f>C14</f>
        <v>201537.12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204956.86200000002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</f>
        <v>17626.896</v>
      </c>
      <c r="F24" s="35"/>
    </row>
    <row r="25" spans="1:6" ht="15">
      <c r="A25" s="57" t="s">
        <v>19</v>
      </c>
      <c r="B25" s="58"/>
      <c r="C25" s="58"/>
      <c r="D25" s="59"/>
      <c r="E25" s="42">
        <f>0.61*C7*12</f>
        <v>5296.752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3560.112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26136.432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7901.7119999999995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4428.432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</f>
        <v>2083.968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23444.640000000003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14674.608</v>
      </c>
    </row>
    <row r="35" spans="1:6" ht="15.75">
      <c r="A35" s="54" t="s">
        <v>100</v>
      </c>
      <c r="B35" s="55"/>
      <c r="C35" s="55"/>
      <c r="D35" s="56"/>
      <c r="E35" s="18">
        <f>0.18*C7*12</f>
        <v>1562.9759999999999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27265.248000000003</v>
      </c>
    </row>
    <row r="38" spans="1:5" ht="15">
      <c r="A38" s="57" t="s">
        <v>19</v>
      </c>
      <c r="B38" s="58"/>
      <c r="C38" s="58"/>
      <c r="D38" s="59"/>
      <c r="E38" s="18">
        <f>0.95*C7*12</f>
        <v>8249.039999999999</v>
      </c>
    </row>
    <row r="39" spans="1:5" ht="15">
      <c r="A39" s="57" t="s">
        <v>40</v>
      </c>
      <c r="B39" s="58"/>
      <c r="C39" s="58"/>
      <c r="D39" s="59"/>
      <c r="E39" s="18">
        <f>0.2*C7*12+2000</f>
        <v>3736.64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28741.392</v>
      </c>
    </row>
    <row r="42" spans="1:5" ht="15">
      <c r="A42" s="57" t="s">
        <v>19</v>
      </c>
      <c r="B42" s="58"/>
      <c r="C42" s="58"/>
      <c r="D42" s="59"/>
      <c r="E42" s="18">
        <f>1*C7*12</f>
        <v>8683.2</v>
      </c>
    </row>
    <row r="43" spans="1:5" ht="15.75">
      <c r="A43" s="46" t="s">
        <v>44</v>
      </c>
      <c r="B43" s="47"/>
      <c r="C43" s="47"/>
      <c r="D43" s="48"/>
      <c r="E43" s="88">
        <f>2.32*C7*12+1419.79</f>
        <v>21564.814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8:B48"/>
    <mergeCell ref="A51:B51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127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128</v>
      </c>
      <c r="B6" s="75"/>
      <c r="C6" s="2"/>
      <c r="D6" s="2"/>
    </row>
    <row r="7" spans="1:4" ht="15">
      <c r="A7" s="75" t="s">
        <v>58</v>
      </c>
      <c r="B7" s="75"/>
      <c r="C7" s="21">
        <v>405.4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26948.96</v>
      </c>
      <c r="C14" s="15">
        <v>112215.84</v>
      </c>
      <c r="D14" s="15">
        <v>123348.56</v>
      </c>
      <c r="E14" s="15">
        <f>B14+C14-D14</f>
        <v>15816.23999999999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112215.84</v>
      </c>
    </row>
    <row r="19" spans="1:5" ht="12.75">
      <c r="A19" s="63" t="s">
        <v>13</v>
      </c>
      <c r="B19" s="64"/>
      <c r="C19" s="64"/>
      <c r="D19" s="65"/>
      <c r="E19" s="17">
        <f>C14</f>
        <v>112215.84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114119.948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</f>
        <v>9875.543999999998</v>
      </c>
      <c r="F24" s="35"/>
    </row>
    <row r="25" spans="1:6" ht="15">
      <c r="A25" s="57" t="s">
        <v>19</v>
      </c>
      <c r="B25" s="58"/>
      <c r="C25" s="58"/>
      <c r="D25" s="59"/>
      <c r="E25" s="42">
        <f>0.61*C7*12</f>
        <v>2967.528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1994.5679999999998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14643.047999999999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4426.968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2481.048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</f>
        <v>1167.552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13134.96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8221.511999999999</v>
      </c>
    </row>
    <row r="35" spans="1:6" ht="15.75">
      <c r="A35" s="54" t="s">
        <v>100</v>
      </c>
      <c r="B35" s="55"/>
      <c r="C35" s="55"/>
      <c r="D35" s="56"/>
      <c r="E35" s="18">
        <f>0.18*C7*12</f>
        <v>875.664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15275.471999999998</v>
      </c>
    </row>
    <row r="38" spans="1:5" ht="15">
      <c r="A38" s="57" t="s">
        <v>19</v>
      </c>
      <c r="B38" s="58"/>
      <c r="C38" s="58"/>
      <c r="D38" s="59"/>
      <c r="E38" s="18">
        <f>0.95*C7*12</f>
        <v>4621.5599999999995</v>
      </c>
    </row>
    <row r="39" spans="1:5" ht="15">
      <c r="A39" s="57" t="s">
        <v>40</v>
      </c>
      <c r="B39" s="58"/>
      <c r="C39" s="58"/>
      <c r="D39" s="59"/>
      <c r="E39" s="18">
        <f>0.2*C7*12+1000</f>
        <v>1972.96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16102.488000000001</v>
      </c>
    </row>
    <row r="42" spans="1:5" ht="15">
      <c r="A42" s="57" t="s">
        <v>19</v>
      </c>
      <c r="B42" s="58"/>
      <c r="C42" s="58"/>
      <c r="D42" s="59"/>
      <c r="E42" s="18">
        <f>1*C7*12</f>
        <v>4864.799999999999</v>
      </c>
    </row>
    <row r="43" spans="1:5" ht="15.75">
      <c r="A43" s="46" t="s">
        <v>44</v>
      </c>
      <c r="B43" s="47"/>
      <c r="C43" s="47"/>
      <c r="D43" s="48"/>
      <c r="E43" s="88">
        <f>2.32*C7*12+207.94</f>
        <v>11494.276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7:B47"/>
    <mergeCell ref="A50:B50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129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130</v>
      </c>
      <c r="B6" s="75"/>
      <c r="C6" s="2"/>
      <c r="D6" s="2"/>
    </row>
    <row r="7" spans="1:4" ht="15">
      <c r="A7" s="75" t="s">
        <v>58</v>
      </c>
      <c r="B7" s="75"/>
      <c r="C7" s="21">
        <v>1876.2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178161.17</v>
      </c>
      <c r="C14" s="15">
        <v>522559.56</v>
      </c>
      <c r="D14" s="15">
        <v>451858.28</v>
      </c>
      <c r="E14" s="15">
        <f>B14+C14-D14</f>
        <v>248862.44999999995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522559.56</v>
      </c>
    </row>
    <row r="19" spans="1:5" ht="12.75">
      <c r="A19" s="63" t="s">
        <v>13</v>
      </c>
      <c r="B19" s="64"/>
      <c r="C19" s="64"/>
      <c r="D19" s="65"/>
      <c r="E19" s="17">
        <f>C14</f>
        <v>522559.56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531426.5040000001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2.03*C7*12+1000</f>
        <v>46704.231999999996</v>
      </c>
      <c r="F24" s="35"/>
    </row>
    <row r="25" spans="1:6" ht="15">
      <c r="A25" s="57" t="s">
        <v>19</v>
      </c>
      <c r="B25" s="58"/>
      <c r="C25" s="58"/>
      <c r="D25" s="59"/>
      <c r="E25" s="42">
        <f>0.61*C7*12+302</f>
        <v>14035.784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9230.903999999999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67768.344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20488.104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11482.344000000001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0.24*C7*12+3000</f>
        <v>8403.456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60788.880000000005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38049.335999999996</v>
      </c>
    </row>
    <row r="35" spans="1:6" ht="15.75">
      <c r="A35" s="54" t="s">
        <v>100</v>
      </c>
      <c r="B35" s="55"/>
      <c r="C35" s="55"/>
      <c r="D35" s="56"/>
      <c r="E35" s="18">
        <f>0.18*C7*12+2000</f>
        <v>6052.592000000001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70695.216</v>
      </c>
    </row>
    <row r="38" spans="1:5" ht="15">
      <c r="A38" s="57" t="s">
        <v>19</v>
      </c>
      <c r="B38" s="58"/>
      <c r="C38" s="58"/>
      <c r="D38" s="59"/>
      <c r="E38" s="18">
        <f>0.95*C7*12</f>
        <v>21388.68</v>
      </c>
    </row>
    <row r="39" spans="1:5" ht="15">
      <c r="A39" s="57" t="s">
        <v>40</v>
      </c>
      <c r="B39" s="58"/>
      <c r="C39" s="58"/>
      <c r="D39" s="59"/>
      <c r="E39" s="18">
        <f>0.2*C7*12</f>
        <v>4502.88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74522.664</v>
      </c>
    </row>
    <row r="42" spans="1:5" ht="15">
      <c r="A42" s="57" t="s">
        <v>19</v>
      </c>
      <c r="B42" s="58"/>
      <c r="C42" s="58"/>
      <c r="D42" s="59"/>
      <c r="E42" s="18">
        <f>1*C7*12</f>
        <v>22514.4</v>
      </c>
    </row>
    <row r="43" spans="1:5" ht="15.75">
      <c r="A43" s="46" t="s">
        <v>44</v>
      </c>
      <c r="B43" s="47"/>
      <c r="C43" s="47"/>
      <c r="D43" s="48"/>
      <c r="E43" s="88">
        <f>2.32*C7*12+2565.28</f>
        <v>54798.687999999995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15">
      <c r="A48" s="20"/>
      <c r="B48" s="20"/>
      <c r="C48" s="20"/>
      <c r="D48" s="20"/>
    </row>
    <row r="49" spans="1:4" ht="25.5" customHeight="1">
      <c r="A49" s="45" t="s">
        <v>140</v>
      </c>
      <c r="B49" s="45"/>
      <c r="D49" s="44" t="s">
        <v>141</v>
      </c>
    </row>
    <row r="52" spans="1:4" ht="12.75">
      <c r="A52" s="45"/>
      <c r="B52" s="45"/>
      <c r="D52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9:B49"/>
    <mergeCell ref="A52:B52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zoomScalePageLayoutView="0" workbookViewId="0" topLeftCell="A19">
      <selection activeCell="E33" sqref="E33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131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132</v>
      </c>
      <c r="B6" s="75"/>
      <c r="C6" s="2"/>
      <c r="D6" s="2"/>
    </row>
    <row r="7" spans="1:4" ht="15">
      <c r="A7" s="75" t="s">
        <v>58</v>
      </c>
      <c r="B7" s="75"/>
      <c r="C7" s="21">
        <v>579.8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27644.81</v>
      </c>
      <c r="C14" s="15">
        <v>161374.44</v>
      </c>
      <c r="D14" s="15">
        <v>142761.29</v>
      </c>
      <c r="E14" s="15">
        <f>B14+C14-D14</f>
        <v>46257.95999999999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161374.44</v>
      </c>
    </row>
    <row r="19" spans="1:5" ht="12.75">
      <c r="A19" s="63" t="s">
        <v>13</v>
      </c>
      <c r="B19" s="64"/>
      <c r="C19" s="64"/>
      <c r="D19" s="65"/>
      <c r="E19" s="17">
        <f>C14</f>
        <v>161374.44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164112.686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</f>
        <v>14123.927999999996</v>
      </c>
      <c r="F24" s="35"/>
    </row>
    <row r="25" spans="1:6" ht="15">
      <c r="A25" s="57" t="s">
        <v>19</v>
      </c>
      <c r="B25" s="58"/>
      <c r="C25" s="58"/>
      <c r="D25" s="59"/>
      <c r="E25" s="42">
        <f>0.61*C7*12</f>
        <v>4244.1359999999995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2852.6159999999995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20942.375999999997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6331.415999999999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3548.3759999999997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0.24*C7*12+2000+126.79</f>
        <v>3796.6139999999996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18785.52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11758.343999999997</v>
      </c>
    </row>
    <row r="35" spans="1:6" ht="15.75">
      <c r="A35" s="54" t="s">
        <v>100</v>
      </c>
      <c r="B35" s="55"/>
      <c r="C35" s="55"/>
      <c r="D35" s="56"/>
      <c r="E35" s="18">
        <f>0.18*C7*12+500</f>
        <v>1752.368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21846.863999999998</v>
      </c>
    </row>
    <row r="38" spans="1:5" ht="15">
      <c r="A38" s="57" t="s">
        <v>19</v>
      </c>
      <c r="B38" s="58"/>
      <c r="C38" s="58"/>
      <c r="D38" s="59"/>
      <c r="E38" s="18">
        <f>0.95*C7*12</f>
        <v>6609.719999999999</v>
      </c>
    </row>
    <row r="39" spans="1:5" ht="15">
      <c r="A39" s="57" t="s">
        <v>40</v>
      </c>
      <c r="B39" s="58"/>
      <c r="C39" s="58"/>
      <c r="D39" s="59"/>
      <c r="E39" s="18">
        <f>0.2*C7*12</f>
        <v>1391.52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23029.656</v>
      </c>
    </row>
    <row r="42" spans="1:5" ht="15">
      <c r="A42" s="57" t="s">
        <v>19</v>
      </c>
      <c r="B42" s="58"/>
      <c r="C42" s="58"/>
      <c r="D42" s="59"/>
      <c r="E42" s="18">
        <f>1*C7*12</f>
        <v>6957.599999999999</v>
      </c>
    </row>
    <row r="43" spans="1:5" ht="15.75">
      <c r="A43" s="46" t="s">
        <v>44</v>
      </c>
      <c r="B43" s="47"/>
      <c r="C43" s="47"/>
      <c r="D43" s="48"/>
      <c r="E43" s="88">
        <f>2.32*C7*12</f>
        <v>16141.631999999998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15">
      <c r="A48" s="20"/>
      <c r="B48" s="20"/>
      <c r="C48" s="20"/>
      <c r="D48" s="20"/>
    </row>
    <row r="49" spans="1:4" ht="25.5" customHeight="1">
      <c r="A49" s="45" t="s">
        <v>140</v>
      </c>
      <c r="B49" s="45"/>
      <c r="D49" s="44" t="s">
        <v>141</v>
      </c>
    </row>
    <row r="52" spans="1:4" ht="12.75">
      <c r="A52" s="45"/>
      <c r="B52" s="45"/>
      <c r="D52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9:B49"/>
    <mergeCell ref="A52:B52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zoomScalePageLayoutView="0" workbookViewId="0" topLeftCell="A19">
      <selection activeCell="E33" sqref="E33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133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134</v>
      </c>
      <c r="B6" s="75"/>
      <c r="C6" s="2"/>
      <c r="D6" s="2"/>
    </row>
    <row r="7" spans="1:4" ht="15">
      <c r="A7" s="75" t="s">
        <v>58</v>
      </c>
      <c r="B7" s="75"/>
      <c r="C7" s="21">
        <v>441.75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67249.38</v>
      </c>
      <c r="C14" s="15">
        <v>123036.24</v>
      </c>
      <c r="D14" s="15">
        <v>125449.23</v>
      </c>
      <c r="E14" s="15">
        <f>B14+C14-D14</f>
        <v>64836.39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123036.24</v>
      </c>
    </row>
    <row r="19" spans="1:5" ht="12.75">
      <c r="A19" s="63" t="s">
        <v>13</v>
      </c>
      <c r="B19" s="64"/>
      <c r="C19" s="64"/>
      <c r="D19" s="65"/>
      <c r="E19" s="17">
        <f>C14</f>
        <v>123036.24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125123.94999999998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</f>
        <v>10761.029999999999</v>
      </c>
      <c r="F24" s="35"/>
    </row>
    <row r="25" spans="1:6" ht="15">
      <c r="A25" s="57" t="s">
        <v>19</v>
      </c>
      <c r="B25" s="58"/>
      <c r="C25" s="58"/>
      <c r="D25" s="59"/>
      <c r="E25" s="42">
        <f>0.61*C7*12</f>
        <v>3233.6099999999997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2173.41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15956.01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4823.91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2703.5099999999998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0.24*C7*12+1000+87.74</f>
        <v>2359.9799999999996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14312.7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8958.69</v>
      </c>
    </row>
    <row r="35" spans="1:6" ht="15.75">
      <c r="A35" s="54" t="s">
        <v>100</v>
      </c>
      <c r="B35" s="55"/>
      <c r="C35" s="55"/>
      <c r="D35" s="56"/>
      <c r="E35" s="18">
        <f>0.18*C7*12+1000</f>
        <v>1954.18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16645.14</v>
      </c>
    </row>
    <row r="38" spans="1:5" ht="15">
      <c r="A38" s="57" t="s">
        <v>19</v>
      </c>
      <c r="B38" s="58"/>
      <c r="C38" s="58"/>
      <c r="D38" s="59"/>
      <c r="E38" s="18">
        <f>0.95*C7*12</f>
        <v>5035.95</v>
      </c>
    </row>
    <row r="39" spans="1:5" ht="15">
      <c r="A39" s="57" t="s">
        <v>40</v>
      </c>
      <c r="B39" s="58"/>
      <c r="C39" s="58"/>
      <c r="D39" s="59"/>
      <c r="E39" s="18">
        <f>0.2*C7*12</f>
        <v>1060.2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17546.31</v>
      </c>
    </row>
    <row r="42" spans="1:5" ht="15">
      <c r="A42" s="57" t="s">
        <v>19</v>
      </c>
      <c r="B42" s="58"/>
      <c r="C42" s="58"/>
      <c r="D42" s="59"/>
      <c r="E42" s="18">
        <f>1*C7*12</f>
        <v>5301</v>
      </c>
    </row>
    <row r="43" spans="1:5" ht="15.75">
      <c r="A43" s="46" t="s">
        <v>44</v>
      </c>
      <c r="B43" s="47"/>
      <c r="C43" s="47"/>
      <c r="D43" s="48"/>
      <c r="E43" s="88">
        <f>2.32*C7*12</f>
        <v>12298.32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15">
      <c r="A48" s="20"/>
      <c r="B48" s="20"/>
      <c r="C48" s="20"/>
      <c r="D48" s="20"/>
    </row>
    <row r="49" spans="1:4" ht="25.5" customHeight="1">
      <c r="A49" s="45" t="s">
        <v>140</v>
      </c>
      <c r="B49" s="45"/>
      <c r="D49" s="44" t="s">
        <v>141</v>
      </c>
    </row>
    <row r="52" spans="1:4" ht="12.75">
      <c r="A52" s="45"/>
      <c r="B52" s="45"/>
      <c r="D52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9:B49"/>
    <mergeCell ref="A52:B52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135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136</v>
      </c>
      <c r="B6" s="75"/>
      <c r="C6" s="2"/>
      <c r="D6" s="2"/>
    </row>
    <row r="7" spans="1:4" ht="15">
      <c r="A7" s="75" t="s">
        <v>58</v>
      </c>
      <c r="B7" s="75"/>
      <c r="C7" s="21">
        <v>740.4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95361.26</v>
      </c>
      <c r="C14" s="15">
        <v>206049.24</v>
      </c>
      <c r="D14" s="15">
        <v>172926.01</v>
      </c>
      <c r="E14" s="15">
        <f>B14+C14-D14</f>
        <v>128484.48999999999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206049.24</v>
      </c>
    </row>
    <row r="19" spans="1:5" ht="12.75">
      <c r="A19" s="63" t="s">
        <v>13</v>
      </c>
      <c r="B19" s="64"/>
      <c r="C19" s="64"/>
      <c r="D19" s="65"/>
      <c r="E19" s="17">
        <f>C14</f>
        <v>206049.24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209545.53799999994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2.03*C7*12</f>
        <v>18036.143999999997</v>
      </c>
      <c r="F24" s="35"/>
    </row>
    <row r="25" spans="1:6" ht="15">
      <c r="A25" s="57" t="s">
        <v>19</v>
      </c>
      <c r="B25" s="58"/>
      <c r="C25" s="58"/>
      <c r="D25" s="59"/>
      <c r="E25" s="42">
        <f>0.61*C7*12</f>
        <v>5419.727999999999</v>
      </c>
      <c r="F25" s="35"/>
    </row>
    <row r="26" spans="1:6" ht="15">
      <c r="A26" s="57" t="s">
        <v>20</v>
      </c>
      <c r="B26" s="58"/>
      <c r="C26" s="58"/>
      <c r="D26" s="59"/>
      <c r="E26" s="42">
        <f>0.41*C7*12</f>
        <v>3642.7679999999996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3.01*C7*12</f>
        <v>26743.248</v>
      </c>
      <c r="F28" s="35"/>
    </row>
    <row r="29" spans="1:6" ht="15">
      <c r="A29" s="57" t="s">
        <v>19</v>
      </c>
      <c r="B29" s="58"/>
      <c r="C29" s="58"/>
      <c r="D29" s="59"/>
      <c r="E29" s="42">
        <f>0.91*C7*12</f>
        <v>8085.168</v>
      </c>
      <c r="F29" s="35"/>
    </row>
    <row r="30" spans="1:6" ht="15">
      <c r="A30" s="57" t="s">
        <v>20</v>
      </c>
      <c r="B30" s="58"/>
      <c r="C30" s="58"/>
      <c r="D30" s="59"/>
      <c r="E30" s="42">
        <f>0.51*C7*12</f>
        <v>4531.248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0.24*C7*12+1500</f>
        <v>3632.352</v>
      </c>
      <c r="F32" s="35"/>
    </row>
    <row r="33" spans="1:6" ht="15.75">
      <c r="A33" s="54" t="s">
        <v>59</v>
      </c>
      <c r="B33" s="55"/>
      <c r="C33" s="55"/>
      <c r="D33" s="56"/>
      <c r="E33" s="42">
        <f>2.7*C7*12</f>
        <v>23988.960000000003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15015.311999999998</v>
      </c>
    </row>
    <row r="35" spans="1:6" ht="15.75">
      <c r="A35" s="54" t="s">
        <v>100</v>
      </c>
      <c r="B35" s="55"/>
      <c r="C35" s="55"/>
      <c r="D35" s="56"/>
      <c r="E35" s="18">
        <f>0.18*C7*12+1000</f>
        <v>2599.264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5" ht="15">
      <c r="A37" s="57" t="s">
        <v>18</v>
      </c>
      <c r="B37" s="58"/>
      <c r="C37" s="58"/>
      <c r="D37" s="59"/>
      <c r="E37" s="18">
        <f>3.14*C7*12</f>
        <v>27898.272000000004</v>
      </c>
    </row>
    <row r="38" spans="1:5" ht="15">
      <c r="A38" s="57" t="s">
        <v>19</v>
      </c>
      <c r="B38" s="58"/>
      <c r="C38" s="58"/>
      <c r="D38" s="59"/>
      <c r="E38" s="18">
        <f>0.95*C7*12</f>
        <v>8440.56</v>
      </c>
    </row>
    <row r="39" spans="1:5" ht="15">
      <c r="A39" s="57" t="s">
        <v>40</v>
      </c>
      <c r="B39" s="58"/>
      <c r="C39" s="58"/>
      <c r="D39" s="59"/>
      <c r="E39" s="18">
        <f>0.2*C7*12</f>
        <v>1776.96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</f>
        <v>29408.688000000002</v>
      </c>
    </row>
    <row r="42" spans="1:5" ht="15">
      <c r="A42" s="57" t="s">
        <v>19</v>
      </c>
      <c r="B42" s="58"/>
      <c r="C42" s="58"/>
      <c r="D42" s="59"/>
      <c r="E42" s="18">
        <f>1*C7*12</f>
        <v>8884.8</v>
      </c>
    </row>
    <row r="43" spans="1:5" ht="15.75">
      <c r="A43" s="46" t="s">
        <v>44</v>
      </c>
      <c r="B43" s="47"/>
      <c r="C43" s="47"/>
      <c r="D43" s="48"/>
      <c r="E43" s="88">
        <f>2.32*C7*12+829.33</f>
        <v>21442.066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8:B48"/>
    <mergeCell ref="A51:B51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43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109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110</v>
      </c>
      <c r="B6" s="75"/>
      <c r="C6" s="2"/>
      <c r="D6" s="2"/>
    </row>
    <row r="7" spans="1:4" ht="15" customHeight="1">
      <c r="A7" s="75" t="s">
        <v>56</v>
      </c>
      <c r="B7" s="75"/>
      <c r="C7" s="37">
        <v>630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17644.78</v>
      </c>
      <c r="C14" s="15">
        <v>134920.32</v>
      </c>
      <c r="D14" s="15">
        <v>140828.55</v>
      </c>
      <c r="E14" s="15">
        <f>B14+C14-D14</f>
        <v>11736.550000000017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134920.32</v>
      </c>
    </row>
    <row r="19" spans="1:5" ht="12.75">
      <c r="A19" s="63" t="s">
        <v>13</v>
      </c>
      <c r="B19" s="64"/>
      <c r="C19" s="64"/>
      <c r="D19" s="65"/>
      <c r="E19" s="27">
        <f>C14</f>
        <v>134920.32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137209.69119999997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19">
        <f>0.26*C7*12</f>
        <v>1965.6000000000001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4828.82</v>
      </c>
    </row>
    <row r="26" spans="1:5" ht="15.75">
      <c r="A26" s="54" t="s">
        <v>99</v>
      </c>
      <c r="B26" s="55"/>
      <c r="C26" s="55"/>
      <c r="D26" s="56"/>
      <c r="E26" s="23">
        <f>0.8*C7*12*0.942</f>
        <v>5697.215999999999</v>
      </c>
    </row>
    <row r="27" spans="1:5" ht="15.75">
      <c r="A27" s="54" t="s">
        <v>59</v>
      </c>
      <c r="B27" s="55"/>
      <c r="C27" s="55"/>
      <c r="D27" s="56"/>
      <c r="E27" s="23">
        <f>2.7*C7*12*0.942</f>
        <v>19228.104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8.18*C7*12*0.942</f>
        <v>58254.033599999995</v>
      </c>
    </row>
    <row r="30" spans="1:5" ht="15">
      <c r="A30" s="57" t="s">
        <v>19</v>
      </c>
      <c r="B30" s="58"/>
      <c r="C30" s="58"/>
      <c r="D30" s="59"/>
      <c r="E30" s="23">
        <f>2.47*C7*12*0.942</f>
        <v>17590.1544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8061.75+1200</f>
        <v>9261.75</v>
      </c>
    </row>
    <row r="33" spans="1:5" ht="15">
      <c r="A33" s="57" t="s">
        <v>19</v>
      </c>
      <c r="B33" s="58"/>
      <c r="C33" s="58"/>
      <c r="D33" s="59"/>
      <c r="E33" s="23">
        <f>2434.65+362</f>
        <v>2796.65</v>
      </c>
    </row>
    <row r="34" spans="1:5" ht="15.75">
      <c r="A34" s="46" t="s">
        <v>44</v>
      </c>
      <c r="B34" s="47"/>
      <c r="C34" s="47"/>
      <c r="D34" s="48"/>
      <c r="E34" s="49">
        <f>2.41*C7*12*0.942+424.5</f>
        <v>17587.3632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  <row r="43" spans="1:4" ht="12.75">
      <c r="A43" s="45"/>
      <c r="B43" s="45"/>
      <c r="D43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40:B40"/>
    <mergeCell ref="A43:B43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zoomScalePageLayoutView="0" workbookViewId="0" topLeftCell="A17">
      <selection activeCell="E45" sqref="E4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137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136</v>
      </c>
      <c r="B6" s="75"/>
      <c r="C6" s="2"/>
      <c r="D6" s="2"/>
    </row>
    <row r="7" spans="1:4" ht="15">
      <c r="A7" s="75" t="s">
        <v>58</v>
      </c>
      <c r="B7" s="75"/>
      <c r="C7" s="21">
        <v>1126.1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69951.57</v>
      </c>
      <c r="C14" s="15">
        <v>363418.16</v>
      </c>
      <c r="D14" s="15">
        <v>325818.4</v>
      </c>
      <c r="E14" s="15">
        <f>B14+C14-D14</f>
        <v>107551.32999999996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363418.16</v>
      </c>
    </row>
    <row r="19" spans="1:5" ht="12.75">
      <c r="A19" s="63" t="s">
        <v>13</v>
      </c>
      <c r="B19" s="64"/>
      <c r="C19" s="64"/>
      <c r="D19" s="65"/>
      <c r="E19" s="17">
        <f>C14</f>
        <v>363418.16</v>
      </c>
    </row>
    <row r="20" spans="1:5" ht="24.75" customHeight="1">
      <c r="A20" s="66" t="s">
        <v>14</v>
      </c>
      <c r="B20" s="67"/>
      <c r="C20" s="67"/>
      <c r="D20" s="68"/>
      <c r="E20" s="24">
        <f>SUM(E24:E44)</f>
        <v>369584.736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6" ht="15">
      <c r="A24" s="57" t="s">
        <v>18</v>
      </c>
      <c r="B24" s="58"/>
      <c r="C24" s="58"/>
      <c r="D24" s="59"/>
      <c r="E24" s="42">
        <f>2.27*C7*12+2000</f>
        <v>32674.964</v>
      </c>
      <c r="F24" s="35"/>
    </row>
    <row r="25" spans="1:6" ht="15">
      <c r="A25" s="57" t="s">
        <v>19</v>
      </c>
      <c r="B25" s="58"/>
      <c r="C25" s="58"/>
      <c r="D25" s="59"/>
      <c r="E25" s="42">
        <f>0.68*C7*12+604</f>
        <v>9792.976</v>
      </c>
      <c r="F25" s="35"/>
    </row>
    <row r="26" spans="1:6" ht="15">
      <c r="A26" s="57" t="s">
        <v>20</v>
      </c>
      <c r="B26" s="58"/>
      <c r="C26" s="58"/>
      <c r="D26" s="59"/>
      <c r="E26" s="42">
        <f>0.41*C7*12+1500</f>
        <v>7040.411999999998</v>
      </c>
      <c r="F26" s="35"/>
    </row>
    <row r="27" spans="1:6" ht="15.75">
      <c r="A27" s="54" t="s">
        <v>21</v>
      </c>
      <c r="B27" s="55"/>
      <c r="C27" s="55"/>
      <c r="D27" s="56"/>
      <c r="E27" s="42"/>
      <c r="F27" s="35"/>
    </row>
    <row r="28" spans="1:6" ht="15">
      <c r="A28" s="57" t="s">
        <v>18</v>
      </c>
      <c r="B28" s="58"/>
      <c r="C28" s="58"/>
      <c r="D28" s="59"/>
      <c r="E28" s="42">
        <f>3.35*C7*12+2000</f>
        <v>47269.22</v>
      </c>
      <c r="F28" s="35"/>
    </row>
    <row r="29" spans="1:6" ht="15">
      <c r="A29" s="57" t="s">
        <v>19</v>
      </c>
      <c r="B29" s="58"/>
      <c r="C29" s="58"/>
      <c r="D29" s="59"/>
      <c r="E29" s="42">
        <f>1.01*C7*12+604</f>
        <v>14252.331999999999</v>
      </c>
      <c r="F29" s="35"/>
    </row>
    <row r="30" spans="1:6" ht="15">
      <c r="A30" s="57" t="s">
        <v>20</v>
      </c>
      <c r="B30" s="58"/>
      <c r="C30" s="58"/>
      <c r="D30" s="59"/>
      <c r="E30" s="42">
        <f>0.41*C7*12+1500</f>
        <v>7040.411999999998</v>
      </c>
      <c r="F30" s="35"/>
    </row>
    <row r="31" spans="1:6" ht="15.75">
      <c r="A31" s="54" t="s">
        <v>35</v>
      </c>
      <c r="B31" s="55"/>
      <c r="C31" s="55"/>
      <c r="D31" s="56"/>
      <c r="E31" s="42"/>
      <c r="F31" s="35"/>
    </row>
    <row r="32" spans="1:6" ht="15">
      <c r="A32" s="57" t="s">
        <v>33</v>
      </c>
      <c r="B32" s="58"/>
      <c r="C32" s="58"/>
      <c r="D32" s="59"/>
      <c r="E32" s="42">
        <f>0.26*C7*12+3000</f>
        <v>6513.432</v>
      </c>
      <c r="F32" s="35"/>
    </row>
    <row r="33" spans="1:6" ht="15.75">
      <c r="A33" s="54" t="s">
        <v>59</v>
      </c>
      <c r="B33" s="55"/>
      <c r="C33" s="55"/>
      <c r="D33" s="56"/>
      <c r="E33" s="42">
        <f>2.7*C7*12+2000</f>
        <v>38485.64</v>
      </c>
      <c r="F33" s="35"/>
    </row>
    <row r="34" spans="1:5" ht="15.75">
      <c r="A34" s="54" t="s">
        <v>37</v>
      </c>
      <c r="B34" s="55"/>
      <c r="C34" s="55"/>
      <c r="D34" s="56"/>
      <c r="E34" s="18">
        <f>1.69*C7*12</f>
        <v>22837.307999999997</v>
      </c>
    </row>
    <row r="35" spans="1:6" ht="15.75">
      <c r="A35" s="54" t="s">
        <v>100</v>
      </c>
      <c r="B35" s="55"/>
      <c r="C35" s="55"/>
      <c r="D35" s="56"/>
      <c r="E35" s="18">
        <f>0.18*C7*12+1000</f>
        <v>3432.3759999999997</v>
      </c>
      <c r="F35" s="35"/>
    </row>
    <row r="36" spans="1:5" ht="15.75">
      <c r="A36" s="54" t="s">
        <v>38</v>
      </c>
      <c r="B36" s="55"/>
      <c r="C36" s="55"/>
      <c r="D36" s="56"/>
      <c r="E36" s="18"/>
    </row>
    <row r="37" spans="1:6" ht="15">
      <c r="A37" s="57" t="s">
        <v>18</v>
      </c>
      <c r="B37" s="58"/>
      <c r="C37" s="58"/>
      <c r="D37" s="59"/>
      <c r="E37" s="18">
        <f>4.33*C7*12+2000</f>
        <v>60512.156</v>
      </c>
      <c r="F37" s="35"/>
    </row>
    <row r="38" spans="1:5" ht="15">
      <c r="A38" s="57" t="s">
        <v>19</v>
      </c>
      <c r="B38" s="58"/>
      <c r="C38" s="58"/>
      <c r="D38" s="59"/>
      <c r="E38" s="18">
        <f>1.31*C7*12+604</f>
        <v>18306.292</v>
      </c>
    </row>
    <row r="39" spans="1:5" ht="15">
      <c r="A39" s="57" t="s">
        <v>40</v>
      </c>
      <c r="B39" s="58"/>
      <c r="C39" s="58"/>
      <c r="D39" s="59"/>
      <c r="E39" s="18">
        <f>0.2*C7*12+3000</f>
        <v>5702.639999999999</v>
      </c>
    </row>
    <row r="40" spans="1:5" ht="15.75">
      <c r="A40" s="54" t="s">
        <v>39</v>
      </c>
      <c r="B40" s="55"/>
      <c r="C40" s="55"/>
      <c r="D40" s="56"/>
      <c r="E40" s="18"/>
    </row>
    <row r="41" spans="1:5" ht="15">
      <c r="A41" s="57" t="s">
        <v>18</v>
      </c>
      <c r="B41" s="58"/>
      <c r="C41" s="58"/>
      <c r="D41" s="59"/>
      <c r="E41" s="18">
        <f>3.31*C7*12+2000</f>
        <v>46728.691999999995</v>
      </c>
    </row>
    <row r="42" spans="1:5" ht="15">
      <c r="A42" s="57" t="s">
        <v>19</v>
      </c>
      <c r="B42" s="58"/>
      <c r="C42" s="58"/>
      <c r="D42" s="59"/>
      <c r="E42" s="18">
        <f>1*C7*12+604</f>
        <v>14117.199999999999</v>
      </c>
    </row>
    <row r="43" spans="1:5" ht="15.75">
      <c r="A43" s="46" t="s">
        <v>44</v>
      </c>
      <c r="B43" s="47"/>
      <c r="C43" s="47"/>
      <c r="D43" s="48"/>
      <c r="E43" s="88">
        <f>2.32*C7*12+3528.06</f>
        <v>34878.683999999994</v>
      </c>
    </row>
    <row r="44" spans="1:5" ht="18" customHeight="1">
      <c r="A44" s="43" t="s">
        <v>45</v>
      </c>
      <c r="B44" s="29"/>
      <c r="C44" s="29"/>
      <c r="D44" s="30"/>
      <c r="E44" s="89"/>
    </row>
    <row r="45" spans="1:5" ht="15">
      <c r="A45" s="20"/>
      <c r="B45" s="20"/>
      <c r="C45" s="20"/>
      <c r="D45" s="20"/>
      <c r="E45" s="1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4" ht="25.5" customHeight="1">
      <c r="A48" s="45" t="s">
        <v>140</v>
      </c>
      <c r="B48" s="45"/>
      <c r="D48" s="44" t="s">
        <v>141</v>
      </c>
    </row>
    <row r="51" spans="1:4" ht="12.75">
      <c r="A51" s="45"/>
      <c r="B51" s="45"/>
      <c r="D51" s="44"/>
    </row>
  </sheetData>
  <sheetProtection/>
  <mergeCells count="38">
    <mergeCell ref="A41:D41"/>
    <mergeCell ref="A42:D42"/>
    <mergeCell ref="A43:D43"/>
    <mergeCell ref="E43:E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E21:E22"/>
    <mergeCell ref="A22:D22"/>
    <mergeCell ref="A48:B48"/>
    <mergeCell ref="A51:B51"/>
    <mergeCell ref="A1:E1"/>
    <mergeCell ref="A2:E2"/>
    <mergeCell ref="A3:E3"/>
    <mergeCell ref="A4:E4"/>
    <mergeCell ref="A6:B6"/>
    <mergeCell ref="A7:B7"/>
    <mergeCell ref="A16:D17"/>
    <mergeCell ref="E16:E1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44" sqref="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144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145</v>
      </c>
      <c r="B6" s="75"/>
      <c r="C6" s="2"/>
      <c r="D6" s="2"/>
    </row>
    <row r="7" spans="1:4" ht="15">
      <c r="A7" s="75" t="s">
        <v>58</v>
      </c>
      <c r="B7" s="75"/>
      <c r="C7" s="21">
        <v>978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30227.69</v>
      </c>
      <c r="C14" s="15">
        <v>353586.61</v>
      </c>
      <c r="D14" s="15">
        <v>368245.78</v>
      </c>
      <c r="E14" s="15">
        <f>B14+C14-D14</f>
        <v>15568.51999999996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353586.61</v>
      </c>
    </row>
    <row r="19" spans="1:5" ht="12.75">
      <c r="A19" s="63" t="s">
        <v>13</v>
      </c>
      <c r="B19" s="64"/>
      <c r="C19" s="64"/>
      <c r="D19" s="65"/>
      <c r="E19" s="17">
        <f>C14</f>
        <v>353586.61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359586.37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2.74*C7*12</f>
        <v>32156.640000000003</v>
      </c>
    </row>
    <row r="25" spans="1:5" ht="15">
      <c r="A25" s="57" t="s">
        <v>19</v>
      </c>
      <c r="B25" s="58"/>
      <c r="C25" s="58"/>
      <c r="D25" s="59"/>
      <c r="E25" s="23">
        <f>0.73*C7*12</f>
        <v>8567.279999999999</v>
      </c>
    </row>
    <row r="26" spans="1:5" ht="15">
      <c r="A26" s="57" t="s">
        <v>20</v>
      </c>
      <c r="B26" s="58"/>
      <c r="C26" s="58"/>
      <c r="D26" s="59"/>
      <c r="E26" s="23">
        <f>0.39*C7*12</f>
        <v>4577.04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3.73*C7*12</f>
        <v>43775.28</v>
      </c>
    </row>
    <row r="29" spans="1:5" ht="15">
      <c r="A29" s="57" t="s">
        <v>19</v>
      </c>
      <c r="B29" s="58"/>
      <c r="C29" s="58"/>
      <c r="D29" s="59"/>
      <c r="E29" s="23">
        <f>1.03*C7*12</f>
        <v>12088.08</v>
      </c>
    </row>
    <row r="30" spans="1:5" ht="15">
      <c r="A30" s="57" t="s">
        <v>20</v>
      </c>
      <c r="B30" s="58"/>
      <c r="C30" s="58"/>
      <c r="D30" s="59"/>
      <c r="E30" s="23">
        <f>0.39*C7*12</f>
        <v>4577.04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0.88*C7*12</f>
        <v>10327.68</v>
      </c>
    </row>
    <row r="33" spans="1:5" ht="15">
      <c r="A33" s="57" t="s">
        <v>33</v>
      </c>
      <c r="B33" s="58"/>
      <c r="C33" s="58"/>
      <c r="D33" s="59"/>
      <c r="E33" s="23">
        <f>0.48*C7*12</f>
        <v>5633.28</v>
      </c>
    </row>
    <row r="34" spans="1:5" ht="15.75">
      <c r="A34" s="54" t="s">
        <v>59</v>
      </c>
      <c r="B34" s="55"/>
      <c r="C34" s="55"/>
      <c r="D34" s="56"/>
      <c r="E34" s="23">
        <f>2.7*C7*12+4000</f>
        <v>35687.200000000004</v>
      </c>
    </row>
    <row r="35" spans="1:5" ht="15.75">
      <c r="A35" s="54" t="s">
        <v>37</v>
      </c>
      <c r="B35" s="55"/>
      <c r="C35" s="55"/>
      <c r="D35" s="56"/>
      <c r="E35" s="23">
        <f>2.3*C7*12</f>
        <v>26992.799999999996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6.77*C7*12</f>
        <v>79452.72</v>
      </c>
    </row>
    <row r="38" spans="1:5" ht="15">
      <c r="A38" s="57" t="s">
        <v>19</v>
      </c>
      <c r="B38" s="58"/>
      <c r="C38" s="58"/>
      <c r="D38" s="59"/>
      <c r="E38" s="23">
        <f>2.05*C7*12</f>
        <v>24058.8</v>
      </c>
    </row>
    <row r="39" spans="1:5" ht="15.75">
      <c r="A39" s="54" t="s">
        <v>39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2.26*C7*12</f>
        <v>26523.359999999997</v>
      </c>
    </row>
    <row r="41" spans="1:5" ht="15">
      <c r="A41" s="57" t="s">
        <v>19</v>
      </c>
      <c r="B41" s="58"/>
      <c r="C41" s="58"/>
      <c r="D41" s="59"/>
      <c r="E41" s="23">
        <f>0.69*C7*12</f>
        <v>8097.839999999999</v>
      </c>
    </row>
    <row r="42" spans="1:5" ht="15.75">
      <c r="A42" s="46" t="s">
        <v>44</v>
      </c>
      <c r="B42" s="47"/>
      <c r="C42" s="47"/>
      <c r="D42" s="48"/>
      <c r="E42" s="49">
        <f>2.9*C7*12+3036.93</f>
        <v>37071.329999999994</v>
      </c>
    </row>
    <row r="43" spans="1:5" ht="18" customHeight="1">
      <c r="A43" s="31" t="s">
        <v>45</v>
      </c>
      <c r="B43" s="29"/>
      <c r="C43" s="29"/>
      <c r="D43" s="30"/>
      <c r="E43" s="50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0:D40"/>
    <mergeCell ref="A41:D41"/>
    <mergeCell ref="A42:D42"/>
    <mergeCell ref="E42:E43"/>
    <mergeCell ref="A47:B47"/>
    <mergeCell ref="A50:B50"/>
    <mergeCell ref="A34:D34"/>
    <mergeCell ref="A35:D35"/>
    <mergeCell ref="A36:D36"/>
    <mergeCell ref="A37:D37"/>
    <mergeCell ref="A38:D38"/>
    <mergeCell ref="A39:D39"/>
    <mergeCell ref="A29:D29"/>
    <mergeCell ref="A30:D30"/>
    <mergeCell ref="A31:D31"/>
    <mergeCell ref="A32:D32"/>
    <mergeCell ref="A33:D33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44" sqref="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146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145</v>
      </c>
      <c r="B6" s="75"/>
      <c r="C6" s="2"/>
      <c r="D6" s="2"/>
    </row>
    <row r="7" spans="1:4" ht="15">
      <c r="A7" s="75" t="s">
        <v>58</v>
      </c>
      <c r="B7" s="75"/>
      <c r="C7" s="21">
        <v>978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30999.1</v>
      </c>
      <c r="C14" s="15">
        <v>352549.92</v>
      </c>
      <c r="D14" s="15">
        <v>347577.43</v>
      </c>
      <c r="E14" s="15">
        <f>B14+C14-D14</f>
        <v>35971.58999999997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352549.92</v>
      </c>
    </row>
    <row r="19" spans="1:5" ht="12.75">
      <c r="A19" s="63" t="s">
        <v>13</v>
      </c>
      <c r="B19" s="64"/>
      <c r="C19" s="64"/>
      <c r="D19" s="65"/>
      <c r="E19" s="17">
        <f>C14</f>
        <v>352549.92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358532.08999999997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2.74*C7*12</f>
        <v>32156.640000000003</v>
      </c>
    </row>
    <row r="25" spans="1:5" ht="15">
      <c r="A25" s="57" t="s">
        <v>19</v>
      </c>
      <c r="B25" s="58"/>
      <c r="C25" s="58"/>
      <c r="D25" s="59"/>
      <c r="E25" s="23">
        <f>0.73*C7*12</f>
        <v>8567.279999999999</v>
      </c>
    </row>
    <row r="26" spans="1:5" ht="15">
      <c r="A26" s="57" t="s">
        <v>20</v>
      </c>
      <c r="B26" s="58"/>
      <c r="C26" s="58"/>
      <c r="D26" s="59"/>
      <c r="E26" s="23">
        <f>0.39*C7*12</f>
        <v>4577.04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3.73*C7*12</f>
        <v>43775.28</v>
      </c>
    </row>
    <row r="29" spans="1:5" ht="15">
      <c r="A29" s="57" t="s">
        <v>19</v>
      </c>
      <c r="B29" s="58"/>
      <c r="C29" s="58"/>
      <c r="D29" s="59"/>
      <c r="E29" s="23">
        <f>1.03*C7*12</f>
        <v>12088.08</v>
      </c>
    </row>
    <row r="30" spans="1:5" ht="15">
      <c r="A30" s="57" t="s">
        <v>20</v>
      </c>
      <c r="B30" s="58"/>
      <c r="C30" s="58"/>
      <c r="D30" s="59"/>
      <c r="E30" s="23">
        <f>0.39*C7*12</f>
        <v>4577.04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0.88*C7*12</f>
        <v>10327.68</v>
      </c>
    </row>
    <row r="33" spans="1:5" ht="15">
      <c r="A33" s="57" t="s">
        <v>33</v>
      </c>
      <c r="B33" s="58"/>
      <c r="C33" s="58"/>
      <c r="D33" s="59"/>
      <c r="E33" s="23">
        <f>0.48*C7*12</f>
        <v>5633.28</v>
      </c>
    </row>
    <row r="34" spans="1:5" ht="15.75">
      <c r="A34" s="54" t="s">
        <v>59</v>
      </c>
      <c r="B34" s="55"/>
      <c r="C34" s="55"/>
      <c r="D34" s="56"/>
      <c r="E34" s="23">
        <f>2.7*C7*12+4000</f>
        <v>35687.200000000004</v>
      </c>
    </row>
    <row r="35" spans="1:5" ht="15.75">
      <c r="A35" s="54" t="s">
        <v>37</v>
      </c>
      <c r="B35" s="55"/>
      <c r="C35" s="55"/>
      <c r="D35" s="56"/>
      <c r="E35" s="23">
        <f>2.3*C7*12</f>
        <v>26992.799999999996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6.77*C7*12</f>
        <v>79452.72</v>
      </c>
    </row>
    <row r="38" spans="1:5" ht="15">
      <c r="A38" s="57" t="s">
        <v>19</v>
      </c>
      <c r="B38" s="58"/>
      <c r="C38" s="58"/>
      <c r="D38" s="59"/>
      <c r="E38" s="23">
        <f>2.05*C7*12</f>
        <v>24058.8</v>
      </c>
    </row>
    <row r="39" spans="1:5" ht="15.75">
      <c r="A39" s="54" t="s">
        <v>39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2.26*C7*12</f>
        <v>26523.359999999997</v>
      </c>
    </row>
    <row r="41" spans="1:5" ht="15">
      <c r="A41" s="57" t="s">
        <v>19</v>
      </c>
      <c r="B41" s="58"/>
      <c r="C41" s="58"/>
      <c r="D41" s="59"/>
      <c r="E41" s="23">
        <f>0.69*C7*12</f>
        <v>8097.839999999999</v>
      </c>
    </row>
    <row r="42" spans="1:5" ht="15.75">
      <c r="A42" s="46" t="s">
        <v>44</v>
      </c>
      <c r="B42" s="47"/>
      <c r="C42" s="47"/>
      <c r="D42" s="48"/>
      <c r="E42" s="49">
        <f>2.9*C7*12+1982.65</f>
        <v>36017.049999999996</v>
      </c>
    </row>
    <row r="43" spans="1:5" ht="18" customHeight="1">
      <c r="A43" s="31" t="s">
        <v>45</v>
      </c>
      <c r="B43" s="29"/>
      <c r="C43" s="29"/>
      <c r="D43" s="30"/>
      <c r="E43" s="50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44" sqref="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145</v>
      </c>
      <c r="B6" s="75"/>
      <c r="C6" s="2"/>
      <c r="D6" s="2"/>
    </row>
    <row r="7" spans="1:4" ht="15">
      <c r="A7" s="75" t="s">
        <v>58</v>
      </c>
      <c r="B7" s="75"/>
      <c r="C7" s="21">
        <v>978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33947.58</v>
      </c>
      <c r="C14" s="15">
        <v>352549.92</v>
      </c>
      <c r="D14" s="15">
        <v>356556.58</v>
      </c>
      <c r="E14" s="15">
        <f>B14+C14-D14</f>
        <v>29940.919999999984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352549.92</v>
      </c>
    </row>
    <row r="19" spans="1:5" ht="12.75">
      <c r="A19" s="63" t="s">
        <v>13</v>
      </c>
      <c r="B19" s="64"/>
      <c r="C19" s="64"/>
      <c r="D19" s="65"/>
      <c r="E19" s="17">
        <f>C14</f>
        <v>352549.92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358532.08999999997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2.74*C7*12</f>
        <v>32156.640000000003</v>
      </c>
    </row>
    <row r="25" spans="1:5" ht="15">
      <c r="A25" s="57" t="s">
        <v>19</v>
      </c>
      <c r="B25" s="58"/>
      <c r="C25" s="58"/>
      <c r="D25" s="59"/>
      <c r="E25" s="23">
        <f>0.73*C7*12</f>
        <v>8567.279999999999</v>
      </c>
    </row>
    <row r="26" spans="1:5" ht="15">
      <c r="A26" s="57" t="s">
        <v>20</v>
      </c>
      <c r="B26" s="58"/>
      <c r="C26" s="58"/>
      <c r="D26" s="59"/>
      <c r="E26" s="23">
        <f>0.39*C7*12</f>
        <v>4577.04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3.73*C7*12</f>
        <v>43775.28</v>
      </c>
    </row>
    <row r="29" spans="1:5" ht="15">
      <c r="A29" s="57" t="s">
        <v>19</v>
      </c>
      <c r="B29" s="58"/>
      <c r="C29" s="58"/>
      <c r="D29" s="59"/>
      <c r="E29" s="23">
        <f>1.03*C7*12</f>
        <v>12088.08</v>
      </c>
    </row>
    <row r="30" spans="1:5" ht="15">
      <c r="A30" s="57" t="s">
        <v>20</v>
      </c>
      <c r="B30" s="58"/>
      <c r="C30" s="58"/>
      <c r="D30" s="59"/>
      <c r="E30" s="23">
        <f>0.39*C7*12</f>
        <v>4577.04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0.88*C7*12</f>
        <v>10327.68</v>
      </c>
    </row>
    <row r="33" spans="1:5" ht="15">
      <c r="A33" s="57" t="s">
        <v>33</v>
      </c>
      <c r="B33" s="58"/>
      <c r="C33" s="58"/>
      <c r="D33" s="59"/>
      <c r="E33" s="23">
        <f>0.48*C7*12</f>
        <v>5633.28</v>
      </c>
    </row>
    <row r="34" spans="1:5" ht="15.75">
      <c r="A34" s="54" t="s">
        <v>59</v>
      </c>
      <c r="B34" s="55"/>
      <c r="C34" s="55"/>
      <c r="D34" s="56"/>
      <c r="E34" s="23">
        <f>2.7*C7*12+4000</f>
        <v>35687.200000000004</v>
      </c>
    </row>
    <row r="35" spans="1:5" ht="15.75">
      <c r="A35" s="54" t="s">
        <v>37</v>
      </c>
      <c r="B35" s="55"/>
      <c r="C35" s="55"/>
      <c r="D35" s="56"/>
      <c r="E35" s="23">
        <f>2.3*C7*12</f>
        <v>26992.799999999996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6.77*C7*12</f>
        <v>79452.72</v>
      </c>
    </row>
    <row r="38" spans="1:5" ht="15">
      <c r="A38" s="57" t="s">
        <v>19</v>
      </c>
      <c r="B38" s="58"/>
      <c r="C38" s="58"/>
      <c r="D38" s="59"/>
      <c r="E38" s="23">
        <f>2.05*C7*12</f>
        <v>24058.8</v>
      </c>
    </row>
    <row r="39" spans="1:5" ht="15.75">
      <c r="A39" s="54" t="s">
        <v>39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2.26*C7*12</f>
        <v>26523.359999999997</v>
      </c>
    </row>
    <row r="41" spans="1:5" ht="15">
      <c r="A41" s="57" t="s">
        <v>19</v>
      </c>
      <c r="B41" s="58"/>
      <c r="C41" s="58"/>
      <c r="D41" s="59"/>
      <c r="E41" s="23">
        <f>0.69*C7*12</f>
        <v>8097.839999999999</v>
      </c>
    </row>
    <row r="42" spans="1:5" ht="15.75">
      <c r="A42" s="46" t="s">
        <v>44</v>
      </c>
      <c r="B42" s="47"/>
      <c r="C42" s="47"/>
      <c r="D42" s="48"/>
      <c r="E42" s="49">
        <f>2.9*C7*12+1982.65</f>
        <v>36017.049999999996</v>
      </c>
    </row>
    <row r="43" spans="1:5" ht="18" customHeight="1">
      <c r="A43" s="31" t="s">
        <v>45</v>
      </c>
      <c r="B43" s="29"/>
      <c r="C43" s="29"/>
      <c r="D43" s="30"/>
      <c r="E43" s="50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44" sqref="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148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145</v>
      </c>
      <c r="B6" s="75"/>
      <c r="C6" s="2"/>
      <c r="D6" s="2"/>
    </row>
    <row r="7" spans="1:4" ht="15">
      <c r="A7" s="75" t="s">
        <v>58</v>
      </c>
      <c r="B7" s="75"/>
      <c r="C7" s="21">
        <v>978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38922.68</v>
      </c>
      <c r="C14" s="15">
        <v>355360.91</v>
      </c>
      <c r="D14" s="15">
        <v>371190.49</v>
      </c>
      <c r="E14" s="15">
        <f>B14+C14-D14</f>
        <v>23093.099999999977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355360.91</v>
      </c>
    </row>
    <row r="19" spans="1:5" ht="12.75">
      <c r="A19" s="63" t="s">
        <v>13</v>
      </c>
      <c r="B19" s="64"/>
      <c r="C19" s="64"/>
      <c r="D19" s="65"/>
      <c r="E19" s="17">
        <f>C14</f>
        <v>355360.91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359049.43999999994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2.74*C7*12</f>
        <v>32156.640000000003</v>
      </c>
    </row>
    <row r="25" spans="1:5" ht="15">
      <c r="A25" s="57" t="s">
        <v>19</v>
      </c>
      <c r="B25" s="58"/>
      <c r="C25" s="58"/>
      <c r="D25" s="59"/>
      <c r="E25" s="23">
        <f>0.73*C7*12</f>
        <v>8567.279999999999</v>
      </c>
    </row>
    <row r="26" spans="1:5" ht="15">
      <c r="A26" s="57" t="s">
        <v>20</v>
      </c>
      <c r="B26" s="58"/>
      <c r="C26" s="58"/>
      <c r="D26" s="59"/>
      <c r="E26" s="23">
        <f>0.39*C7*12</f>
        <v>4577.04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3.73*C7*12</f>
        <v>43775.28</v>
      </c>
    </row>
    <row r="29" spans="1:5" ht="15">
      <c r="A29" s="57" t="s">
        <v>19</v>
      </c>
      <c r="B29" s="58"/>
      <c r="C29" s="58"/>
      <c r="D29" s="59"/>
      <c r="E29" s="23">
        <f>1.03*C7*12</f>
        <v>12088.08</v>
      </c>
    </row>
    <row r="30" spans="1:5" ht="15">
      <c r="A30" s="57" t="s">
        <v>20</v>
      </c>
      <c r="B30" s="58"/>
      <c r="C30" s="58"/>
      <c r="D30" s="59"/>
      <c r="E30" s="23">
        <f>0.39*C7*12</f>
        <v>4577.04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0.88*C7*12</f>
        <v>10327.68</v>
      </c>
    </row>
    <row r="33" spans="1:5" ht="15">
      <c r="A33" s="57" t="s">
        <v>33</v>
      </c>
      <c r="B33" s="58"/>
      <c r="C33" s="58"/>
      <c r="D33" s="59"/>
      <c r="E33" s="23">
        <f>0.48*C7*12</f>
        <v>5633.28</v>
      </c>
    </row>
    <row r="34" spans="1:5" ht="15.75">
      <c r="A34" s="54" t="s">
        <v>59</v>
      </c>
      <c r="B34" s="55"/>
      <c r="C34" s="55"/>
      <c r="D34" s="56"/>
      <c r="E34" s="23">
        <f>2.7*C7*12+4000</f>
        <v>35687.200000000004</v>
      </c>
    </row>
    <row r="35" spans="1:5" ht="15.75">
      <c r="A35" s="54" t="s">
        <v>37</v>
      </c>
      <c r="B35" s="55"/>
      <c r="C35" s="55"/>
      <c r="D35" s="56"/>
      <c r="E35" s="23">
        <f>2.3*C7*12</f>
        <v>26992.799999999996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6.77*C7*12</f>
        <v>79452.72</v>
      </c>
    </row>
    <row r="38" spans="1:5" ht="15">
      <c r="A38" s="57" t="s">
        <v>19</v>
      </c>
      <c r="B38" s="58"/>
      <c r="C38" s="58"/>
      <c r="D38" s="59"/>
      <c r="E38" s="23">
        <f>2.05*C7*12</f>
        <v>24058.8</v>
      </c>
    </row>
    <row r="39" spans="1:5" ht="15.75">
      <c r="A39" s="54" t="s">
        <v>39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2.26*C7*12</f>
        <v>26523.359999999997</v>
      </c>
    </row>
    <row r="41" spans="1:5" ht="15">
      <c r="A41" s="57" t="s">
        <v>19</v>
      </c>
      <c r="B41" s="58"/>
      <c r="C41" s="58"/>
      <c r="D41" s="59"/>
      <c r="E41" s="23">
        <f>0.69*C7*12</f>
        <v>8097.839999999999</v>
      </c>
    </row>
    <row r="42" spans="1:5" ht="15.75">
      <c r="A42" s="46" t="s">
        <v>44</v>
      </c>
      <c r="B42" s="47"/>
      <c r="C42" s="47"/>
      <c r="D42" s="48"/>
      <c r="E42" s="49">
        <f>2.9*C7*12+2500</f>
        <v>36534.399999999994</v>
      </c>
    </row>
    <row r="43" spans="1:5" ht="18" customHeight="1">
      <c r="A43" s="31" t="s">
        <v>45</v>
      </c>
      <c r="B43" s="29"/>
      <c r="C43" s="29"/>
      <c r="D43" s="30"/>
      <c r="E43" s="50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24" sqref="E2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149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145</v>
      </c>
      <c r="B6" s="75"/>
      <c r="C6" s="2"/>
      <c r="D6" s="2"/>
    </row>
    <row r="7" spans="1:4" ht="15">
      <c r="A7" s="75" t="s">
        <v>58</v>
      </c>
      <c r="B7" s="75"/>
      <c r="C7" s="21">
        <v>978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30317.76</v>
      </c>
      <c r="C14" s="15">
        <v>353491.87</v>
      </c>
      <c r="D14" s="15">
        <v>350093.37</v>
      </c>
      <c r="E14" s="15">
        <f>B14+C14-D14</f>
        <v>33716.26000000001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353491.87</v>
      </c>
    </row>
    <row r="19" spans="1:5" ht="12.75">
      <c r="A19" s="63" t="s">
        <v>13</v>
      </c>
      <c r="B19" s="64"/>
      <c r="C19" s="64"/>
      <c r="D19" s="65"/>
      <c r="E19" s="17">
        <f>C14</f>
        <v>353491.87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359049.43999999994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23">
        <f>2.74*C7*12</f>
        <v>32156.640000000003</v>
      </c>
    </row>
    <row r="25" spans="1:5" ht="15">
      <c r="A25" s="57" t="s">
        <v>19</v>
      </c>
      <c r="B25" s="58"/>
      <c r="C25" s="58"/>
      <c r="D25" s="59"/>
      <c r="E25" s="23">
        <f>0.73*C7*12</f>
        <v>8567.279999999999</v>
      </c>
    </row>
    <row r="26" spans="1:5" ht="15">
      <c r="A26" s="57" t="s">
        <v>20</v>
      </c>
      <c r="B26" s="58"/>
      <c r="C26" s="58"/>
      <c r="D26" s="59"/>
      <c r="E26" s="23">
        <f>0.39*C7*12</f>
        <v>4577.04</v>
      </c>
    </row>
    <row r="27" spans="1:5" ht="15.75">
      <c r="A27" s="54" t="s">
        <v>21</v>
      </c>
      <c r="B27" s="55"/>
      <c r="C27" s="55"/>
      <c r="D27" s="56"/>
      <c r="E27" s="23"/>
    </row>
    <row r="28" spans="1:5" ht="15">
      <c r="A28" s="57" t="s">
        <v>18</v>
      </c>
      <c r="B28" s="58"/>
      <c r="C28" s="58"/>
      <c r="D28" s="59"/>
      <c r="E28" s="23">
        <f>3.73*C7*12</f>
        <v>43775.28</v>
      </c>
    </row>
    <row r="29" spans="1:5" ht="15">
      <c r="A29" s="57" t="s">
        <v>19</v>
      </c>
      <c r="B29" s="58"/>
      <c r="C29" s="58"/>
      <c r="D29" s="59"/>
      <c r="E29" s="23">
        <f>1.03*C7*12</f>
        <v>12088.08</v>
      </c>
    </row>
    <row r="30" spans="1:5" ht="15">
      <c r="A30" s="57" t="s">
        <v>20</v>
      </c>
      <c r="B30" s="58"/>
      <c r="C30" s="58"/>
      <c r="D30" s="59"/>
      <c r="E30" s="23">
        <f>0.39*C7*12</f>
        <v>4577.04</v>
      </c>
    </row>
    <row r="31" spans="1:5" ht="15.75">
      <c r="A31" s="54" t="s">
        <v>35</v>
      </c>
      <c r="B31" s="55"/>
      <c r="C31" s="55"/>
      <c r="D31" s="56"/>
      <c r="E31" s="23"/>
    </row>
    <row r="32" spans="1:5" ht="15">
      <c r="A32" s="57" t="s">
        <v>36</v>
      </c>
      <c r="B32" s="58"/>
      <c r="C32" s="58"/>
      <c r="D32" s="59"/>
      <c r="E32" s="23">
        <f>0.88*C7*12</f>
        <v>10327.68</v>
      </c>
    </row>
    <row r="33" spans="1:5" ht="15">
      <c r="A33" s="57" t="s">
        <v>33</v>
      </c>
      <c r="B33" s="58"/>
      <c r="C33" s="58"/>
      <c r="D33" s="59"/>
      <c r="E33" s="23">
        <f>0.48*C7*12</f>
        <v>5633.28</v>
      </c>
    </row>
    <row r="34" spans="1:5" ht="15.75">
      <c r="A34" s="54" t="s">
        <v>59</v>
      </c>
      <c r="B34" s="55"/>
      <c r="C34" s="55"/>
      <c r="D34" s="56"/>
      <c r="E34" s="23">
        <f>2.7*C7*12+4000</f>
        <v>35687.200000000004</v>
      </c>
    </row>
    <row r="35" spans="1:5" ht="15.75">
      <c r="A35" s="54" t="s">
        <v>37</v>
      </c>
      <c r="B35" s="55"/>
      <c r="C35" s="55"/>
      <c r="D35" s="56"/>
      <c r="E35" s="23">
        <f>2.3*C7*12</f>
        <v>26992.799999999996</v>
      </c>
    </row>
    <row r="36" spans="1:5" ht="15.75">
      <c r="A36" s="54" t="s">
        <v>38</v>
      </c>
      <c r="B36" s="55"/>
      <c r="C36" s="55"/>
      <c r="D36" s="56"/>
      <c r="E36" s="23"/>
    </row>
    <row r="37" spans="1:5" ht="15">
      <c r="A37" s="57" t="s">
        <v>18</v>
      </c>
      <c r="B37" s="58"/>
      <c r="C37" s="58"/>
      <c r="D37" s="59"/>
      <c r="E37" s="23">
        <f>6.77*C7*12</f>
        <v>79452.72</v>
      </c>
    </row>
    <row r="38" spans="1:5" ht="15">
      <c r="A38" s="57" t="s">
        <v>19</v>
      </c>
      <c r="B38" s="58"/>
      <c r="C38" s="58"/>
      <c r="D38" s="59"/>
      <c r="E38" s="23">
        <f>2.05*C7*12</f>
        <v>24058.8</v>
      </c>
    </row>
    <row r="39" spans="1:5" ht="15.75">
      <c r="A39" s="54" t="s">
        <v>39</v>
      </c>
      <c r="B39" s="55"/>
      <c r="C39" s="55"/>
      <c r="D39" s="56"/>
      <c r="E39" s="23"/>
    </row>
    <row r="40" spans="1:5" ht="15">
      <c r="A40" s="57" t="s">
        <v>18</v>
      </c>
      <c r="B40" s="58"/>
      <c r="C40" s="58"/>
      <c r="D40" s="59"/>
      <c r="E40" s="23">
        <f>2.26*C7*12</f>
        <v>26523.359999999997</v>
      </c>
    </row>
    <row r="41" spans="1:5" ht="15">
      <c r="A41" s="57" t="s">
        <v>19</v>
      </c>
      <c r="B41" s="58"/>
      <c r="C41" s="58"/>
      <c r="D41" s="59"/>
      <c r="E41" s="23">
        <f>0.69*C7*12</f>
        <v>8097.839999999999</v>
      </c>
    </row>
    <row r="42" spans="1:5" ht="15.75">
      <c r="A42" s="46" t="s">
        <v>44</v>
      </c>
      <c r="B42" s="47"/>
      <c r="C42" s="47"/>
      <c r="D42" s="48"/>
      <c r="E42" s="49">
        <f>2.9*C7*12+2500</f>
        <v>36534.399999999994</v>
      </c>
    </row>
    <row r="43" spans="1:5" ht="18" customHeight="1">
      <c r="A43" s="31" t="s">
        <v>45</v>
      </c>
      <c r="B43" s="29"/>
      <c r="C43" s="29"/>
      <c r="D43" s="30"/>
      <c r="E43" s="50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00000"/>
  </sheetPr>
  <dimension ref="A1:E50"/>
  <sheetViews>
    <sheetView zoomScalePageLayoutView="0" workbookViewId="0" topLeftCell="A1">
      <selection activeCell="F10" sqref="F1:H1638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154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155</v>
      </c>
      <c r="B6" s="75"/>
      <c r="C6" s="2"/>
      <c r="D6" s="2"/>
    </row>
    <row r="7" spans="1:4" ht="15">
      <c r="A7" s="75" t="s">
        <v>58</v>
      </c>
      <c r="B7" s="75"/>
      <c r="C7" s="21">
        <v>1260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0</v>
      </c>
      <c r="C14" s="15">
        <v>472348.8</v>
      </c>
      <c r="D14" s="15">
        <v>409230.39</v>
      </c>
      <c r="E14" s="15">
        <f>B14+C14-D14</f>
        <v>63118.409999999974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472348.8</v>
      </c>
    </row>
    <row r="19" spans="1:5" ht="12.75">
      <c r="A19" s="63" t="s">
        <v>13</v>
      </c>
      <c r="B19" s="64"/>
      <c r="C19" s="64"/>
      <c r="D19" s="65"/>
      <c r="E19" s="17">
        <f>C14</f>
        <v>472348.8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472348.8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40">
        <f>3.39*C7*12</f>
        <v>51256.8</v>
      </c>
    </row>
    <row r="25" spans="1:5" ht="15">
      <c r="A25" s="57" t="s">
        <v>19</v>
      </c>
      <c r="B25" s="58"/>
      <c r="C25" s="58"/>
      <c r="D25" s="59"/>
      <c r="E25" s="40">
        <f>0.93*C7*12</f>
        <v>14061.599999999999</v>
      </c>
    </row>
    <row r="26" spans="1:5" ht="15">
      <c r="A26" s="57" t="s">
        <v>20</v>
      </c>
      <c r="B26" s="58"/>
      <c r="C26" s="58"/>
      <c r="D26" s="59"/>
      <c r="E26" s="40">
        <f>0.39*C7*12</f>
        <v>5896.8</v>
      </c>
    </row>
    <row r="27" spans="1:5" ht="15.75">
      <c r="A27" s="54" t="s">
        <v>21</v>
      </c>
      <c r="B27" s="55"/>
      <c r="C27" s="55"/>
      <c r="D27" s="56"/>
      <c r="E27" s="40"/>
    </row>
    <row r="28" spans="1:5" ht="15">
      <c r="A28" s="57" t="s">
        <v>18</v>
      </c>
      <c r="B28" s="58"/>
      <c r="C28" s="58"/>
      <c r="D28" s="59"/>
      <c r="E28" s="40">
        <f>3.73*C7*12</f>
        <v>56397.600000000006</v>
      </c>
    </row>
    <row r="29" spans="1:5" ht="15">
      <c r="A29" s="57" t="s">
        <v>19</v>
      </c>
      <c r="B29" s="58"/>
      <c r="C29" s="58"/>
      <c r="D29" s="59"/>
      <c r="E29" s="40">
        <f>1.03*C7*12</f>
        <v>15573.599999999999</v>
      </c>
    </row>
    <row r="30" spans="1:5" ht="15">
      <c r="A30" s="57" t="s">
        <v>20</v>
      </c>
      <c r="B30" s="58"/>
      <c r="C30" s="58"/>
      <c r="D30" s="59"/>
      <c r="E30" s="40">
        <f>0.39*C7*12</f>
        <v>5896.8</v>
      </c>
    </row>
    <row r="31" spans="1:5" ht="15.75">
      <c r="A31" s="54" t="s">
        <v>35</v>
      </c>
      <c r="B31" s="55"/>
      <c r="C31" s="55"/>
      <c r="D31" s="56"/>
      <c r="E31" s="40"/>
    </row>
    <row r="32" spans="1:5" ht="15">
      <c r="A32" s="57" t="s">
        <v>36</v>
      </c>
      <c r="B32" s="58"/>
      <c r="C32" s="58"/>
      <c r="D32" s="59"/>
      <c r="E32" s="40">
        <f>0.88*C7*12</f>
        <v>13305.599999999999</v>
      </c>
    </row>
    <row r="33" spans="1:5" ht="15">
      <c r="A33" s="57" t="s">
        <v>33</v>
      </c>
      <c r="B33" s="58"/>
      <c r="C33" s="58"/>
      <c r="D33" s="59"/>
      <c r="E33" s="40">
        <f>0.48*C7*12</f>
        <v>7257.599999999999</v>
      </c>
    </row>
    <row r="34" spans="1:5" ht="15.75">
      <c r="A34" s="54" t="s">
        <v>59</v>
      </c>
      <c r="B34" s="55"/>
      <c r="C34" s="55"/>
      <c r="D34" s="56"/>
      <c r="E34" s="40">
        <f>3.05*C7*12</f>
        <v>46116</v>
      </c>
    </row>
    <row r="35" spans="1:5" ht="15.75">
      <c r="A35" s="54" t="s">
        <v>37</v>
      </c>
      <c r="B35" s="55"/>
      <c r="C35" s="55"/>
      <c r="D35" s="56"/>
      <c r="E35" s="40">
        <f>2.3*C7*12</f>
        <v>34776</v>
      </c>
    </row>
    <row r="36" spans="1:5" ht="15.75">
      <c r="A36" s="54" t="s">
        <v>38</v>
      </c>
      <c r="B36" s="55"/>
      <c r="C36" s="55"/>
      <c r="D36" s="56"/>
      <c r="E36" s="40"/>
    </row>
    <row r="37" spans="1:5" ht="15">
      <c r="A37" s="57" t="s">
        <v>18</v>
      </c>
      <c r="B37" s="58"/>
      <c r="C37" s="58"/>
      <c r="D37" s="59"/>
      <c r="E37" s="40">
        <f>6.77*C7*12</f>
        <v>102362.4</v>
      </c>
    </row>
    <row r="38" spans="1:5" ht="15">
      <c r="A38" s="57" t="s">
        <v>19</v>
      </c>
      <c r="B38" s="58"/>
      <c r="C38" s="58"/>
      <c r="D38" s="59"/>
      <c r="E38" s="40">
        <f>2.05*C7*12</f>
        <v>30996</v>
      </c>
    </row>
    <row r="39" spans="1:5" ht="15.75">
      <c r="A39" s="54" t="s">
        <v>39</v>
      </c>
      <c r="B39" s="55"/>
      <c r="C39" s="55"/>
      <c r="D39" s="56"/>
      <c r="E39" s="40"/>
    </row>
    <row r="40" spans="1:5" ht="15">
      <c r="A40" s="57" t="s">
        <v>18</v>
      </c>
      <c r="B40" s="58"/>
      <c r="C40" s="58"/>
      <c r="D40" s="59"/>
      <c r="E40" s="40">
        <f>2.26*C7*12</f>
        <v>34171.2</v>
      </c>
    </row>
    <row r="41" spans="1:5" ht="15">
      <c r="A41" s="57" t="s">
        <v>19</v>
      </c>
      <c r="B41" s="58"/>
      <c r="C41" s="58"/>
      <c r="D41" s="59"/>
      <c r="E41" s="40">
        <f>0.69*C7*12</f>
        <v>10432.8</v>
      </c>
    </row>
    <row r="42" spans="1:5" ht="15.75">
      <c r="A42" s="46" t="s">
        <v>44</v>
      </c>
      <c r="B42" s="47"/>
      <c r="C42" s="47"/>
      <c r="D42" s="48"/>
      <c r="E42" s="84">
        <f>2.9*C7*12</f>
        <v>43848</v>
      </c>
    </row>
    <row r="43" spans="1:5" ht="18" customHeight="1">
      <c r="A43" s="31" t="s">
        <v>45</v>
      </c>
      <c r="B43" s="29"/>
      <c r="C43" s="29"/>
      <c r="D43" s="30"/>
      <c r="E43" s="85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16">
      <selection activeCell="E44" sqref="E44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157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156</v>
      </c>
      <c r="B6" s="75"/>
      <c r="C6" s="2"/>
      <c r="D6" s="2"/>
    </row>
    <row r="7" spans="1:4" ht="15">
      <c r="A7" s="75" t="s">
        <v>58</v>
      </c>
      <c r="B7" s="75"/>
      <c r="C7" s="21">
        <v>1420.8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0</v>
      </c>
      <c r="C14" s="15">
        <v>306203.67</v>
      </c>
      <c r="D14" s="15">
        <v>259775.33</v>
      </c>
      <c r="E14" s="15">
        <f>B14+C14-D14</f>
        <v>46428.34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306203.67</v>
      </c>
    </row>
    <row r="19" spans="1:5" ht="12.75">
      <c r="A19" s="63" t="s">
        <v>13</v>
      </c>
      <c r="B19" s="64"/>
      <c r="C19" s="64"/>
      <c r="D19" s="65"/>
      <c r="E19" s="17">
        <f>C14</f>
        <v>306203.67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306700.54399999994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40">
        <f>3.39*C7*7</f>
        <v>33715.583999999995</v>
      </c>
    </row>
    <row r="25" spans="1:5" ht="15">
      <c r="A25" s="57" t="s">
        <v>19</v>
      </c>
      <c r="B25" s="58"/>
      <c r="C25" s="58"/>
      <c r="D25" s="59"/>
      <c r="E25" s="40">
        <f>0.93*C7*7</f>
        <v>9249.408</v>
      </c>
    </row>
    <row r="26" spans="1:5" ht="15">
      <c r="A26" s="57" t="s">
        <v>20</v>
      </c>
      <c r="B26" s="58"/>
      <c r="C26" s="58"/>
      <c r="D26" s="59"/>
      <c r="E26" s="40">
        <f>0.39*C7*7</f>
        <v>3878.7839999999997</v>
      </c>
    </row>
    <row r="27" spans="1:5" ht="15.75">
      <c r="A27" s="54" t="s">
        <v>21</v>
      </c>
      <c r="B27" s="55"/>
      <c r="C27" s="55"/>
      <c r="D27" s="56"/>
      <c r="E27" s="40"/>
    </row>
    <row r="28" spans="1:5" ht="15">
      <c r="A28" s="57" t="s">
        <v>18</v>
      </c>
      <c r="B28" s="58"/>
      <c r="C28" s="58"/>
      <c r="D28" s="59"/>
      <c r="E28" s="40">
        <f>3.73*C7*7</f>
        <v>37097.087999999996</v>
      </c>
    </row>
    <row r="29" spans="1:5" ht="15">
      <c r="A29" s="57" t="s">
        <v>19</v>
      </c>
      <c r="B29" s="58"/>
      <c r="C29" s="58"/>
      <c r="D29" s="59"/>
      <c r="E29" s="40">
        <f>1.03*C7*7</f>
        <v>10243.968</v>
      </c>
    </row>
    <row r="30" spans="1:5" ht="15">
      <c r="A30" s="57" t="s">
        <v>20</v>
      </c>
      <c r="B30" s="58"/>
      <c r="C30" s="58"/>
      <c r="D30" s="59"/>
      <c r="E30" s="40">
        <f>0.39*C7*7</f>
        <v>3878.7839999999997</v>
      </c>
    </row>
    <row r="31" spans="1:5" ht="15.75">
      <c r="A31" s="54" t="s">
        <v>35</v>
      </c>
      <c r="B31" s="55"/>
      <c r="C31" s="55"/>
      <c r="D31" s="56"/>
      <c r="E31" s="40"/>
    </row>
    <row r="32" spans="1:5" ht="15">
      <c r="A32" s="57" t="s">
        <v>36</v>
      </c>
      <c r="B32" s="58"/>
      <c r="C32" s="58"/>
      <c r="D32" s="59"/>
      <c r="E32" s="40">
        <f>0.88*C7*7</f>
        <v>8752.127999999999</v>
      </c>
    </row>
    <row r="33" spans="1:5" ht="15">
      <c r="A33" s="57" t="s">
        <v>33</v>
      </c>
      <c r="B33" s="58"/>
      <c r="C33" s="58"/>
      <c r="D33" s="59"/>
      <c r="E33" s="40">
        <f>0.48*C7*7</f>
        <v>4773.887999999999</v>
      </c>
    </row>
    <row r="34" spans="1:5" ht="15.75">
      <c r="A34" s="54" t="s">
        <v>59</v>
      </c>
      <c r="B34" s="55"/>
      <c r="C34" s="55"/>
      <c r="D34" s="56"/>
      <c r="E34" s="40">
        <f>3.05*C7*7</f>
        <v>30334.079999999998</v>
      </c>
    </row>
    <row r="35" spans="1:5" ht="15.75">
      <c r="A35" s="54" t="s">
        <v>37</v>
      </c>
      <c r="B35" s="55"/>
      <c r="C35" s="55"/>
      <c r="D35" s="56"/>
      <c r="E35" s="40">
        <f>2.3*C7*7</f>
        <v>22874.879999999997</v>
      </c>
    </row>
    <row r="36" spans="1:5" ht="15.75">
      <c r="A36" s="54" t="s">
        <v>38</v>
      </c>
      <c r="B36" s="55"/>
      <c r="C36" s="55"/>
      <c r="D36" s="56"/>
      <c r="E36" s="40"/>
    </row>
    <row r="37" spans="1:5" ht="15">
      <c r="A37" s="57" t="s">
        <v>18</v>
      </c>
      <c r="B37" s="58"/>
      <c r="C37" s="58"/>
      <c r="D37" s="59"/>
      <c r="E37" s="40">
        <f>6.77*C7*7</f>
        <v>67331.712</v>
      </c>
    </row>
    <row r="38" spans="1:5" ht="15">
      <c r="A38" s="57" t="s">
        <v>19</v>
      </c>
      <c r="B38" s="58"/>
      <c r="C38" s="58"/>
      <c r="D38" s="59"/>
      <c r="E38" s="40">
        <f>2.05*C7*7</f>
        <v>20388.48</v>
      </c>
    </row>
    <row r="39" spans="1:5" ht="15.75">
      <c r="A39" s="54" t="s">
        <v>39</v>
      </c>
      <c r="B39" s="55"/>
      <c r="C39" s="55"/>
      <c r="D39" s="56"/>
      <c r="E39" s="40"/>
    </row>
    <row r="40" spans="1:5" ht="15">
      <c r="A40" s="57" t="s">
        <v>18</v>
      </c>
      <c r="B40" s="58"/>
      <c r="C40" s="58"/>
      <c r="D40" s="59"/>
      <c r="E40" s="40">
        <f>2.26*C7*7</f>
        <v>22477.055999999997</v>
      </c>
    </row>
    <row r="41" spans="1:5" ht="15">
      <c r="A41" s="57" t="s">
        <v>19</v>
      </c>
      <c r="B41" s="58"/>
      <c r="C41" s="58"/>
      <c r="D41" s="59"/>
      <c r="E41" s="40">
        <f>0.69*C7*7</f>
        <v>6862.463999999999</v>
      </c>
    </row>
    <row r="42" spans="1:5" ht="15.75">
      <c r="A42" s="46" t="s">
        <v>44</v>
      </c>
      <c r="B42" s="47"/>
      <c r="C42" s="47"/>
      <c r="D42" s="48"/>
      <c r="E42" s="84">
        <f>2.9*C7*7-4000</f>
        <v>24842.239999999998</v>
      </c>
    </row>
    <row r="43" spans="1:5" ht="18" customHeight="1">
      <c r="A43" s="31" t="s">
        <v>45</v>
      </c>
      <c r="B43" s="29"/>
      <c r="C43" s="29"/>
      <c r="D43" s="30"/>
      <c r="E43" s="85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tabSelected="1" zoomScalePageLayoutView="0" workbookViewId="0" topLeftCell="A22">
      <selection activeCell="C48" sqref="C48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8.875" style="0" customWidth="1"/>
    <col min="5" max="5" width="18.125" style="0" customWidth="1"/>
    <col min="7" max="7" width="12.25390625" style="0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158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2.75">
      <c r="C5" s="2"/>
      <c r="D5" s="2"/>
    </row>
    <row r="6" spans="1:4" ht="17.25" customHeight="1">
      <c r="A6" s="75" t="s">
        <v>159</v>
      </c>
      <c r="B6" s="75"/>
      <c r="C6" s="2"/>
      <c r="D6" s="2"/>
    </row>
    <row r="7" spans="1:4" ht="15">
      <c r="A7" s="75" t="s">
        <v>58</v>
      </c>
      <c r="B7" s="75"/>
      <c r="C7" s="21">
        <v>1486.8</v>
      </c>
      <c r="D7" s="22" t="s">
        <v>41</v>
      </c>
    </row>
    <row r="8" spans="3:4" ht="12.75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7" ht="14.25">
      <c r="A14" s="14" t="s">
        <v>9</v>
      </c>
      <c r="B14" s="15">
        <v>0</v>
      </c>
      <c r="C14" s="15">
        <v>557371.58</v>
      </c>
      <c r="D14" s="15">
        <v>482575.7</v>
      </c>
      <c r="E14" s="15">
        <f>B14+C14-D14</f>
        <v>74795.87999999995</v>
      </c>
      <c r="G14" s="10"/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16">
        <f>E19</f>
        <v>557371.58</v>
      </c>
    </row>
    <row r="19" spans="1:5" ht="12.75">
      <c r="A19" s="63" t="s">
        <v>13</v>
      </c>
      <c r="B19" s="64"/>
      <c r="C19" s="64"/>
      <c r="D19" s="65"/>
      <c r="E19" s="17">
        <f>C14</f>
        <v>557371.58</v>
      </c>
    </row>
    <row r="20" spans="1:5" ht="24.75" customHeight="1">
      <c r="A20" s="66" t="s">
        <v>14</v>
      </c>
      <c r="B20" s="67"/>
      <c r="C20" s="67"/>
      <c r="D20" s="68"/>
      <c r="E20" s="24">
        <f>SUM(E24:E43)</f>
        <v>557371.5839999999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5" ht="18" customHeight="1">
      <c r="A23" s="54" t="s">
        <v>17</v>
      </c>
      <c r="B23" s="55"/>
      <c r="C23" s="55"/>
      <c r="D23" s="56"/>
      <c r="E23" s="28"/>
    </row>
    <row r="24" spans="1:5" ht="15">
      <c r="A24" s="57" t="s">
        <v>18</v>
      </c>
      <c r="B24" s="58"/>
      <c r="C24" s="58"/>
      <c r="D24" s="59"/>
      <c r="E24" s="40">
        <f>3.39*C7*12</f>
        <v>60483.024000000005</v>
      </c>
    </row>
    <row r="25" spans="1:5" ht="15">
      <c r="A25" s="57" t="s">
        <v>19</v>
      </c>
      <c r="B25" s="58"/>
      <c r="C25" s="58"/>
      <c r="D25" s="59"/>
      <c r="E25" s="40">
        <f>0.93*C7*12</f>
        <v>16592.688</v>
      </c>
    </row>
    <row r="26" spans="1:5" ht="15">
      <c r="A26" s="57" t="s">
        <v>20</v>
      </c>
      <c r="B26" s="58"/>
      <c r="C26" s="58"/>
      <c r="D26" s="59"/>
      <c r="E26" s="40">
        <f>0.39*C7*12</f>
        <v>6958.224</v>
      </c>
    </row>
    <row r="27" spans="1:5" ht="15.75">
      <c r="A27" s="54" t="s">
        <v>21</v>
      </c>
      <c r="B27" s="55"/>
      <c r="C27" s="55"/>
      <c r="D27" s="56"/>
      <c r="E27" s="40"/>
    </row>
    <row r="28" spans="1:5" ht="15">
      <c r="A28" s="57" t="s">
        <v>18</v>
      </c>
      <c r="B28" s="58"/>
      <c r="C28" s="58"/>
      <c r="D28" s="59"/>
      <c r="E28" s="40">
        <f>3.73*C7*12</f>
        <v>66549.168</v>
      </c>
    </row>
    <row r="29" spans="1:5" ht="15">
      <c r="A29" s="57" t="s">
        <v>19</v>
      </c>
      <c r="B29" s="58"/>
      <c r="C29" s="58"/>
      <c r="D29" s="59"/>
      <c r="E29" s="40">
        <f>1.03*C7*12</f>
        <v>18376.847999999998</v>
      </c>
    </row>
    <row r="30" spans="1:5" ht="15">
      <c r="A30" s="57" t="s">
        <v>20</v>
      </c>
      <c r="B30" s="58"/>
      <c r="C30" s="58"/>
      <c r="D30" s="59"/>
      <c r="E30" s="40">
        <f>0.39*C7*12</f>
        <v>6958.224</v>
      </c>
    </row>
    <row r="31" spans="1:5" ht="15.75">
      <c r="A31" s="54" t="s">
        <v>35</v>
      </c>
      <c r="B31" s="55"/>
      <c r="C31" s="55"/>
      <c r="D31" s="56"/>
      <c r="E31" s="40"/>
    </row>
    <row r="32" spans="1:5" ht="15">
      <c r="A32" s="57" t="s">
        <v>36</v>
      </c>
      <c r="B32" s="58"/>
      <c r="C32" s="58"/>
      <c r="D32" s="59"/>
      <c r="E32" s="40">
        <f>0.88*C7*12</f>
        <v>15700.608</v>
      </c>
    </row>
    <row r="33" spans="1:5" ht="15">
      <c r="A33" s="57" t="s">
        <v>33</v>
      </c>
      <c r="B33" s="58"/>
      <c r="C33" s="58"/>
      <c r="D33" s="59"/>
      <c r="E33" s="40">
        <f>0.48*C7*12</f>
        <v>8563.968</v>
      </c>
    </row>
    <row r="34" spans="1:5" ht="15.75">
      <c r="A34" s="54" t="s">
        <v>59</v>
      </c>
      <c r="B34" s="55"/>
      <c r="C34" s="55"/>
      <c r="D34" s="56"/>
      <c r="E34" s="40">
        <f>3.05*C7*12</f>
        <v>54416.88</v>
      </c>
    </row>
    <row r="35" spans="1:5" ht="15.75">
      <c r="A35" s="54" t="s">
        <v>37</v>
      </c>
      <c r="B35" s="55"/>
      <c r="C35" s="55"/>
      <c r="D35" s="56"/>
      <c r="E35" s="40">
        <f>2.3*C7*12</f>
        <v>41035.67999999999</v>
      </c>
    </row>
    <row r="36" spans="1:5" ht="15.75">
      <c r="A36" s="54" t="s">
        <v>38</v>
      </c>
      <c r="B36" s="55"/>
      <c r="C36" s="55"/>
      <c r="D36" s="56"/>
      <c r="E36" s="40"/>
    </row>
    <row r="37" spans="1:5" ht="15">
      <c r="A37" s="57" t="s">
        <v>18</v>
      </c>
      <c r="B37" s="58"/>
      <c r="C37" s="58"/>
      <c r="D37" s="59"/>
      <c r="E37" s="40">
        <f>6.77*C7*12</f>
        <v>120787.63199999998</v>
      </c>
    </row>
    <row r="38" spans="1:5" ht="15">
      <c r="A38" s="57" t="s">
        <v>19</v>
      </c>
      <c r="B38" s="58"/>
      <c r="C38" s="58"/>
      <c r="D38" s="59"/>
      <c r="E38" s="40">
        <f>2.05*C7*12</f>
        <v>36575.28</v>
      </c>
    </row>
    <row r="39" spans="1:5" ht="15.75">
      <c r="A39" s="54" t="s">
        <v>39</v>
      </c>
      <c r="B39" s="55"/>
      <c r="C39" s="55"/>
      <c r="D39" s="56"/>
      <c r="E39" s="40"/>
    </row>
    <row r="40" spans="1:5" ht="15">
      <c r="A40" s="57" t="s">
        <v>18</v>
      </c>
      <c r="B40" s="58"/>
      <c r="C40" s="58"/>
      <c r="D40" s="59"/>
      <c r="E40" s="40">
        <f>2.26*C7*12</f>
        <v>40322.015999999996</v>
      </c>
    </row>
    <row r="41" spans="1:5" ht="15">
      <c r="A41" s="57" t="s">
        <v>19</v>
      </c>
      <c r="B41" s="58"/>
      <c r="C41" s="58"/>
      <c r="D41" s="59"/>
      <c r="E41" s="40">
        <f>0.69*C7*12</f>
        <v>12310.703999999998</v>
      </c>
    </row>
    <row r="42" spans="1:5" ht="15.75">
      <c r="A42" s="46" t="s">
        <v>44</v>
      </c>
      <c r="B42" s="47"/>
      <c r="C42" s="47"/>
      <c r="D42" s="48"/>
      <c r="E42" s="84">
        <f>2.9*C7*12</f>
        <v>51740.63999999999</v>
      </c>
    </row>
    <row r="43" spans="1:5" ht="18" customHeight="1">
      <c r="A43" s="31" t="s">
        <v>45</v>
      </c>
      <c r="B43" s="29"/>
      <c r="C43" s="29"/>
      <c r="D43" s="30"/>
      <c r="E43" s="85"/>
    </row>
    <row r="44" spans="1:5" ht="15">
      <c r="A44" s="20"/>
      <c r="B44" s="20"/>
      <c r="C44" s="20"/>
      <c r="D44" s="20"/>
      <c r="E44" s="1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25.5" customHeight="1">
      <c r="A47" s="45" t="s">
        <v>140</v>
      </c>
      <c r="B47" s="45"/>
      <c r="D47" s="44" t="s">
        <v>141</v>
      </c>
    </row>
    <row r="50" spans="1:4" ht="12.75">
      <c r="A50" s="45"/>
      <c r="B50" s="45"/>
      <c r="D50" s="44"/>
    </row>
  </sheetData>
  <sheetProtection/>
  <mergeCells count="37">
    <mergeCell ref="A41:D41"/>
    <mergeCell ref="A42:D42"/>
    <mergeCell ref="E42:E43"/>
    <mergeCell ref="A47:B47"/>
    <mergeCell ref="A50:B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6:D17"/>
    <mergeCell ref="E16:E17"/>
    <mergeCell ref="A18:D18"/>
    <mergeCell ref="A19:D19"/>
    <mergeCell ref="A20:D20"/>
    <mergeCell ref="A21:D21"/>
    <mergeCell ref="E21:E22"/>
    <mergeCell ref="A22:D22"/>
    <mergeCell ref="A1:E1"/>
    <mergeCell ref="A2:E2"/>
    <mergeCell ref="A3:E3"/>
    <mergeCell ref="A4:E4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43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107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108</v>
      </c>
      <c r="B6" s="75"/>
      <c r="C6" s="2"/>
      <c r="D6" s="2"/>
    </row>
    <row r="7" spans="1:4" ht="15" customHeight="1">
      <c r="A7" s="75" t="s">
        <v>56</v>
      </c>
      <c r="B7" s="75"/>
      <c r="C7" s="37">
        <v>644.1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117693.13</v>
      </c>
      <c r="C14" s="15">
        <v>145927.08</v>
      </c>
      <c r="D14" s="15">
        <v>142771.88</v>
      </c>
      <c r="E14" s="15">
        <f>B14+C14-D14</f>
        <v>120848.32999999996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145927.08</v>
      </c>
    </row>
    <row r="19" spans="1:5" ht="12.75">
      <c r="A19" s="63" t="s">
        <v>13</v>
      </c>
      <c r="B19" s="64"/>
      <c r="C19" s="64"/>
      <c r="D19" s="65"/>
      <c r="E19" s="27">
        <f>C14</f>
        <v>145927.08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148403.209584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2009.592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5222.75</v>
      </c>
    </row>
    <row r="26" spans="1:5" ht="15.75">
      <c r="A26" s="54" t="s">
        <v>99</v>
      </c>
      <c r="B26" s="55"/>
      <c r="C26" s="55"/>
      <c r="D26" s="56"/>
      <c r="E26" s="23">
        <f>0.8*C7*12*0.992</f>
        <v>6133.893120000001</v>
      </c>
    </row>
    <row r="27" spans="1:5" ht="15.75">
      <c r="A27" s="54" t="s">
        <v>59</v>
      </c>
      <c r="B27" s="55"/>
      <c r="C27" s="55"/>
      <c r="D27" s="56"/>
      <c r="E27" s="23">
        <f>2.7*C7*12*0.992</f>
        <v>20701.889280000003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8.18*C7*12*0.992</f>
        <v>62719.057152</v>
      </c>
    </row>
    <row r="30" spans="1:5" ht="15">
      <c r="A30" s="57" t="s">
        <v>19</v>
      </c>
      <c r="B30" s="58"/>
      <c r="C30" s="58"/>
      <c r="D30" s="59"/>
      <c r="E30" s="23">
        <f>2.47*C7*12*0.992</f>
        <v>18938.395008000003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8719.42+1300</f>
        <v>10019.42</v>
      </c>
    </row>
    <row r="33" spans="1:5" ht="15">
      <c r="A33" s="57" t="s">
        <v>19</v>
      </c>
      <c r="B33" s="58"/>
      <c r="C33" s="58"/>
      <c r="D33" s="59"/>
      <c r="E33" s="23">
        <f>2633.27+393</f>
        <v>3026.27</v>
      </c>
    </row>
    <row r="34" spans="1:5" ht="15.75">
      <c r="A34" s="46" t="s">
        <v>44</v>
      </c>
      <c r="B34" s="47"/>
      <c r="C34" s="47"/>
      <c r="D34" s="48"/>
      <c r="E34" s="49">
        <f>2.41*C7*12*0.992+1153.59</f>
        <v>19631.943024000004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  <row r="43" spans="1:4" ht="12.75">
      <c r="A43" s="45"/>
      <c r="B43" s="45"/>
      <c r="D43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40:B40"/>
    <mergeCell ref="A43:B43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42"/>
  <sheetViews>
    <sheetView zoomScalePageLayoutView="0" workbookViewId="0" topLeftCell="A8">
      <selection activeCell="E34" sqref="E34:E35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105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106</v>
      </c>
      <c r="B6" s="75"/>
      <c r="C6" s="2"/>
      <c r="D6" s="2"/>
    </row>
    <row r="7" spans="1:4" ht="15" customHeight="1">
      <c r="A7" s="75" t="s">
        <v>56</v>
      </c>
      <c r="B7" s="75"/>
      <c r="C7" s="37">
        <v>636.2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14161.22</v>
      </c>
      <c r="C14" s="15">
        <v>144137.28</v>
      </c>
      <c r="D14" s="15">
        <v>144735.01</v>
      </c>
      <c r="E14" s="15">
        <f>B14+C14-D14</f>
        <v>13563.48999999999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144137.28</v>
      </c>
    </row>
    <row r="19" spans="1:5" ht="12.75">
      <c r="A19" s="63" t="s">
        <v>13</v>
      </c>
      <c r="B19" s="64"/>
      <c r="C19" s="64"/>
      <c r="D19" s="65"/>
      <c r="E19" s="27">
        <f>C14</f>
        <v>144137.28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146583.04408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1984.944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5158.75</v>
      </c>
    </row>
    <row r="26" spans="1:5" ht="15.75">
      <c r="A26" s="54" t="s">
        <v>99</v>
      </c>
      <c r="B26" s="55"/>
      <c r="C26" s="55"/>
      <c r="D26" s="56"/>
      <c r="E26" s="23">
        <f>0.8*C7*12</f>
        <v>6107.52</v>
      </c>
    </row>
    <row r="27" spans="1:5" ht="15.75">
      <c r="A27" s="54" t="s">
        <v>59</v>
      </c>
      <c r="B27" s="55"/>
      <c r="C27" s="55"/>
      <c r="D27" s="56"/>
      <c r="E27" s="23">
        <f>2.7*C7*12*0.992</f>
        <v>20447.976960000004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8.18*C7*12*0.992+800</f>
        <v>62749.796863999996</v>
      </c>
    </row>
    <row r="30" spans="1:5" ht="15">
      <c r="A30" s="57" t="s">
        <v>19</v>
      </c>
      <c r="B30" s="58"/>
      <c r="C30" s="58"/>
      <c r="D30" s="59"/>
      <c r="E30" s="23">
        <f>2.47*C7*12*0.992+242</f>
        <v>18948.112256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8612.48+1300</f>
        <v>9912.48</v>
      </c>
    </row>
    <row r="33" spans="1:5" ht="15">
      <c r="A33" s="57" t="s">
        <v>19</v>
      </c>
      <c r="B33" s="58"/>
      <c r="C33" s="58"/>
      <c r="D33" s="59"/>
      <c r="E33" s="23">
        <f>2600.97+393</f>
        <v>2993.97</v>
      </c>
    </row>
    <row r="34" spans="1:5" ht="15.75">
      <c r="A34" s="46" t="s">
        <v>44</v>
      </c>
      <c r="B34" s="47"/>
      <c r="C34" s="47"/>
      <c r="D34" s="48"/>
      <c r="E34" s="49">
        <f>2.41*C7*12-119.41</f>
        <v>18279.494000000002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39" spans="1:4" ht="25.5" customHeight="1">
      <c r="A39" s="45" t="s">
        <v>140</v>
      </c>
      <c r="B39" s="45"/>
      <c r="D39" s="44" t="s">
        <v>141</v>
      </c>
    </row>
    <row r="42" spans="1:4" ht="12.75">
      <c r="A42" s="45"/>
      <c r="B42" s="45"/>
      <c r="D42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39:B39"/>
    <mergeCell ref="A42:B42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43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103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104</v>
      </c>
      <c r="B6" s="75"/>
      <c r="C6" s="2"/>
      <c r="D6" s="2"/>
    </row>
    <row r="7" spans="1:4" ht="15" customHeight="1">
      <c r="A7" s="75" t="s">
        <v>56</v>
      </c>
      <c r="B7" s="75"/>
      <c r="C7" s="37">
        <v>635.9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13494.77</v>
      </c>
      <c r="C14" s="15">
        <v>144069.48</v>
      </c>
      <c r="D14" s="15">
        <v>135222.76</v>
      </c>
      <c r="E14" s="15">
        <f>B14+C14-D14</f>
        <v>22341.48999999999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144069.48</v>
      </c>
    </row>
    <row r="19" spans="1:5" ht="12.75">
      <c r="A19" s="63" t="s">
        <v>13</v>
      </c>
      <c r="B19" s="64"/>
      <c r="C19" s="64"/>
      <c r="D19" s="65"/>
      <c r="E19" s="27">
        <f>C14</f>
        <v>144069.48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146514.09359999996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1984.008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5156.26</v>
      </c>
    </row>
    <row r="26" spans="1:5" ht="15.75">
      <c r="A26" s="54" t="s">
        <v>99</v>
      </c>
      <c r="B26" s="55"/>
      <c r="C26" s="55"/>
      <c r="D26" s="56"/>
      <c r="E26" s="23">
        <f>0.8*C7*12*0.992</f>
        <v>6055.80288</v>
      </c>
    </row>
    <row r="27" spans="1:5" ht="15.75">
      <c r="A27" s="54" t="s">
        <v>59</v>
      </c>
      <c r="B27" s="55"/>
      <c r="C27" s="55"/>
      <c r="D27" s="56"/>
      <c r="E27" s="23">
        <f>2.7*C7*12*0.992</f>
        <v>20438.33472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8.18*C7*12+150</f>
        <v>62569.94399999999</v>
      </c>
    </row>
    <row r="30" spans="1:5" ht="15">
      <c r="A30" s="57" t="s">
        <v>19</v>
      </c>
      <c r="B30" s="58"/>
      <c r="C30" s="58"/>
      <c r="D30" s="59"/>
      <c r="E30" s="23">
        <f>2.47*C7*12+45</f>
        <v>18893.076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f>8608.43+1300</f>
        <v>9908.43</v>
      </c>
    </row>
    <row r="33" spans="1:5" ht="15">
      <c r="A33" s="57" t="s">
        <v>19</v>
      </c>
      <c r="B33" s="58"/>
      <c r="C33" s="58"/>
      <c r="D33" s="59"/>
      <c r="E33" s="23">
        <f>2599.75+393</f>
        <v>2992.75</v>
      </c>
    </row>
    <row r="34" spans="1:5" ht="15.75">
      <c r="A34" s="46" t="s">
        <v>44</v>
      </c>
      <c r="B34" s="47"/>
      <c r="C34" s="47"/>
      <c r="D34" s="48"/>
      <c r="E34" s="49">
        <f>2.41*C7*12+125.26</f>
        <v>18515.487999999998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40" spans="1:4" ht="25.5" customHeight="1">
      <c r="A40" s="45" t="s">
        <v>140</v>
      </c>
      <c r="B40" s="45"/>
      <c r="D40" s="44" t="s">
        <v>141</v>
      </c>
    </row>
    <row r="43" spans="1:4" ht="12.75">
      <c r="A43" s="45"/>
      <c r="B43" s="45"/>
      <c r="D43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40:B40"/>
    <mergeCell ref="A43:B43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42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24.375" style="0" customWidth="1"/>
    <col min="2" max="2" width="16.75390625" style="0" customWidth="1"/>
    <col min="3" max="3" width="14.25390625" style="0" customWidth="1"/>
    <col min="4" max="4" width="29.375" style="0" customWidth="1"/>
    <col min="5" max="5" width="19.875" style="0" customWidth="1"/>
    <col min="6" max="6" width="9.625" style="0" bestFit="1" customWidth="1"/>
    <col min="9" max="9" width="9.625" style="0" bestFit="1" customWidth="1"/>
  </cols>
  <sheetData>
    <row r="1" spans="1:5" ht="20.25">
      <c r="A1" s="74" t="s">
        <v>6</v>
      </c>
      <c r="B1" s="74"/>
      <c r="C1" s="74"/>
      <c r="D1" s="74"/>
      <c r="E1" s="74"/>
    </row>
    <row r="2" spans="1:5" ht="20.25">
      <c r="A2" s="74" t="s">
        <v>7</v>
      </c>
      <c r="B2" s="74"/>
      <c r="C2" s="74"/>
      <c r="D2" s="74"/>
      <c r="E2" s="74"/>
    </row>
    <row r="3" spans="1:5" ht="20.25">
      <c r="A3" s="74" t="s">
        <v>101</v>
      </c>
      <c r="B3" s="74"/>
      <c r="C3" s="74"/>
      <c r="D3" s="74"/>
      <c r="E3" s="74"/>
    </row>
    <row r="4" spans="1:5" ht="20.25">
      <c r="A4" s="74" t="s">
        <v>150</v>
      </c>
      <c r="B4" s="74"/>
      <c r="C4" s="74"/>
      <c r="D4" s="74"/>
      <c r="E4" s="74"/>
    </row>
    <row r="5" spans="3:4" ht="14.25" customHeight="1">
      <c r="C5" s="2"/>
      <c r="D5" s="2"/>
    </row>
    <row r="6" spans="1:4" ht="17.25" customHeight="1">
      <c r="A6" s="75" t="s">
        <v>102</v>
      </c>
      <c r="B6" s="75"/>
      <c r="C6" s="2"/>
      <c r="D6" s="2"/>
    </row>
    <row r="7" spans="1:4" ht="15" customHeight="1">
      <c r="A7" s="75" t="s">
        <v>56</v>
      </c>
      <c r="B7" s="75"/>
      <c r="C7" s="37">
        <v>647.9</v>
      </c>
      <c r="D7" s="33" t="s">
        <v>57</v>
      </c>
    </row>
    <row r="8" spans="3:4" ht="14.25" customHeight="1">
      <c r="C8" s="2"/>
      <c r="D8" s="2"/>
    </row>
    <row r="9" spans="1:5" ht="12.75">
      <c r="A9" s="6"/>
      <c r="B9" s="5" t="s">
        <v>2</v>
      </c>
      <c r="C9" s="6"/>
      <c r="D9" s="6"/>
      <c r="E9" s="5" t="s">
        <v>2</v>
      </c>
    </row>
    <row r="10" spans="1:5" ht="12.75">
      <c r="A10" s="8"/>
      <c r="B10" s="7" t="s">
        <v>3</v>
      </c>
      <c r="C10" s="8"/>
      <c r="D10" s="8"/>
      <c r="E10" s="7" t="s">
        <v>3</v>
      </c>
    </row>
    <row r="11" spans="1:5" ht="12.75">
      <c r="A11" s="7" t="s">
        <v>1</v>
      </c>
      <c r="B11" s="7" t="s">
        <v>4</v>
      </c>
      <c r="C11" s="7" t="s">
        <v>0</v>
      </c>
      <c r="D11" s="7" t="s">
        <v>5</v>
      </c>
      <c r="E11" s="7" t="s">
        <v>4</v>
      </c>
    </row>
    <row r="12" spans="1:5" ht="12.75">
      <c r="A12" s="9"/>
      <c r="B12" s="3" t="s">
        <v>142</v>
      </c>
      <c r="C12" s="4"/>
      <c r="D12" s="4"/>
      <c r="E12" s="3" t="s">
        <v>151</v>
      </c>
    </row>
    <row r="13" spans="1:5" ht="14.25">
      <c r="A13" s="12" t="s">
        <v>8</v>
      </c>
      <c r="B13" s="13"/>
      <c r="C13" s="13"/>
      <c r="D13" s="13"/>
      <c r="E13" s="13"/>
    </row>
    <row r="14" spans="1:5" ht="14.25">
      <c r="A14" s="14" t="s">
        <v>9</v>
      </c>
      <c r="B14" s="15">
        <v>40747.02</v>
      </c>
      <c r="C14" s="15">
        <v>145322.03</v>
      </c>
      <c r="D14" s="15">
        <v>169949.65</v>
      </c>
      <c r="E14" s="15">
        <f>B14+C14-D14</f>
        <v>16119.399999999994</v>
      </c>
    </row>
    <row r="16" spans="1:5" ht="12.75" customHeight="1">
      <c r="A16" s="76" t="s">
        <v>10</v>
      </c>
      <c r="B16" s="77"/>
      <c r="C16" s="77"/>
      <c r="D16" s="78"/>
      <c r="E16" s="82" t="s">
        <v>11</v>
      </c>
    </row>
    <row r="17" spans="1:5" ht="12.75" customHeight="1">
      <c r="A17" s="79"/>
      <c r="B17" s="80"/>
      <c r="C17" s="80"/>
      <c r="D17" s="81"/>
      <c r="E17" s="83"/>
    </row>
    <row r="18" spans="1:5" ht="15.75">
      <c r="A18" s="60" t="s">
        <v>12</v>
      </c>
      <c r="B18" s="61"/>
      <c r="C18" s="61"/>
      <c r="D18" s="62"/>
      <c r="E18" s="26">
        <f>E19</f>
        <v>145322.03</v>
      </c>
    </row>
    <row r="19" spans="1:5" ht="12.75">
      <c r="A19" s="63" t="s">
        <v>13</v>
      </c>
      <c r="B19" s="64"/>
      <c r="C19" s="64"/>
      <c r="D19" s="65"/>
      <c r="E19" s="27">
        <f>C14</f>
        <v>145322.03</v>
      </c>
    </row>
    <row r="20" spans="1:5" ht="24.75" customHeight="1">
      <c r="A20" s="66" t="s">
        <v>14</v>
      </c>
      <c r="B20" s="67"/>
      <c r="C20" s="67"/>
      <c r="D20" s="68"/>
      <c r="E20" s="26">
        <f>SUM(E23:E35)</f>
        <v>147787.88887999998</v>
      </c>
    </row>
    <row r="21" spans="1:5" ht="24" customHeight="1">
      <c r="A21" s="66" t="s">
        <v>15</v>
      </c>
      <c r="B21" s="67"/>
      <c r="C21" s="67"/>
      <c r="D21" s="68"/>
      <c r="E21" s="69"/>
    </row>
    <row r="22" spans="1:5" ht="15.75">
      <c r="A22" s="71" t="s">
        <v>16</v>
      </c>
      <c r="B22" s="72"/>
      <c r="C22" s="72"/>
      <c r="D22" s="73"/>
      <c r="E22" s="70"/>
    </row>
    <row r="23" spans="1:6" ht="18" customHeight="1">
      <c r="A23" s="54" t="s">
        <v>100</v>
      </c>
      <c r="B23" s="55"/>
      <c r="C23" s="55"/>
      <c r="D23" s="56"/>
      <c r="E23" s="23">
        <f>0.26*C7*12</f>
        <v>2021.448</v>
      </c>
      <c r="F23" s="25"/>
    </row>
    <row r="24" spans="1:5" ht="15.75">
      <c r="A24" s="54" t="s">
        <v>35</v>
      </c>
      <c r="B24" s="55"/>
      <c r="C24" s="55"/>
      <c r="D24" s="56"/>
      <c r="E24" s="23"/>
    </row>
    <row r="25" spans="1:5" ht="15">
      <c r="A25" s="57" t="s">
        <v>138</v>
      </c>
      <c r="B25" s="58"/>
      <c r="C25" s="58"/>
      <c r="D25" s="59"/>
      <c r="E25" s="23">
        <v>5201.09</v>
      </c>
    </row>
    <row r="26" spans="1:5" ht="15.75">
      <c r="A26" s="54" t="s">
        <v>99</v>
      </c>
      <c r="B26" s="55"/>
      <c r="C26" s="55"/>
      <c r="D26" s="56"/>
      <c r="E26" s="23">
        <f>0.8*C7*12*0.982</f>
        <v>6107.88288</v>
      </c>
    </row>
    <row r="27" spans="1:5" ht="15.75">
      <c r="A27" s="54" t="s">
        <v>59</v>
      </c>
      <c r="B27" s="55"/>
      <c r="C27" s="55"/>
      <c r="D27" s="56"/>
      <c r="E27" s="23">
        <f>2.7*C7*12</f>
        <v>20991.960000000003</v>
      </c>
    </row>
    <row r="28" spans="1:5" ht="15.75">
      <c r="A28" s="54" t="s">
        <v>38</v>
      </c>
      <c r="B28" s="55"/>
      <c r="C28" s="55"/>
      <c r="D28" s="56"/>
      <c r="E28" s="23"/>
    </row>
    <row r="29" spans="1:5" ht="15">
      <c r="A29" s="57" t="s">
        <v>18</v>
      </c>
      <c r="B29" s="58"/>
      <c r="C29" s="58"/>
      <c r="D29" s="59"/>
      <c r="E29" s="23">
        <f>8.18*C7*12</f>
        <v>63597.86399999999</v>
      </c>
    </row>
    <row r="30" spans="1:5" ht="15">
      <c r="A30" s="57" t="s">
        <v>19</v>
      </c>
      <c r="B30" s="58"/>
      <c r="C30" s="58"/>
      <c r="D30" s="59"/>
      <c r="E30" s="23">
        <f>2.47*C7*12</f>
        <v>19203.756</v>
      </c>
    </row>
    <row r="31" spans="1:5" ht="15.75">
      <c r="A31" s="54" t="s">
        <v>39</v>
      </c>
      <c r="B31" s="55"/>
      <c r="C31" s="55"/>
      <c r="D31" s="56"/>
      <c r="E31" s="23"/>
    </row>
    <row r="32" spans="1:5" ht="15">
      <c r="A32" s="57" t="s">
        <v>18</v>
      </c>
      <c r="B32" s="58"/>
      <c r="C32" s="58"/>
      <c r="D32" s="59"/>
      <c r="E32" s="23">
        <v>8683.27</v>
      </c>
    </row>
    <row r="33" spans="1:5" ht="15">
      <c r="A33" s="57" t="s">
        <v>19</v>
      </c>
      <c r="B33" s="58"/>
      <c r="C33" s="58"/>
      <c r="D33" s="59"/>
      <c r="E33" s="23">
        <v>2622.35</v>
      </c>
    </row>
    <row r="34" spans="1:5" ht="15.75">
      <c r="A34" s="46" t="s">
        <v>44</v>
      </c>
      <c r="B34" s="47"/>
      <c r="C34" s="47"/>
      <c r="D34" s="48"/>
      <c r="E34" s="49">
        <f>2.41*C7*12+621</f>
        <v>19358.268</v>
      </c>
    </row>
    <row r="35" spans="1:5" ht="28.5" customHeight="1">
      <c r="A35" s="51" t="s">
        <v>62</v>
      </c>
      <c r="B35" s="52"/>
      <c r="C35" s="52"/>
      <c r="D35" s="53"/>
      <c r="E35" s="50"/>
    </row>
    <row r="37" ht="12.75">
      <c r="E37" s="10"/>
    </row>
    <row r="39" spans="1:4" ht="25.5" customHeight="1">
      <c r="A39" s="45" t="s">
        <v>140</v>
      </c>
      <c r="B39" s="45"/>
      <c r="D39" s="44" t="s">
        <v>141</v>
      </c>
    </row>
    <row r="42" spans="1:4" ht="12.75">
      <c r="A42" s="45"/>
      <c r="B42" s="45"/>
      <c r="D42" s="44"/>
    </row>
  </sheetData>
  <sheetProtection/>
  <mergeCells count="30">
    <mergeCell ref="A1:E1"/>
    <mergeCell ref="A2:E2"/>
    <mergeCell ref="A3:E3"/>
    <mergeCell ref="A4:E4"/>
    <mergeCell ref="A6:B6"/>
    <mergeCell ref="A7:B7"/>
    <mergeCell ref="A16:D17"/>
    <mergeCell ref="E16:E17"/>
    <mergeCell ref="A18:D18"/>
    <mergeCell ref="A19:D19"/>
    <mergeCell ref="A20:D20"/>
    <mergeCell ref="A21:D21"/>
    <mergeCell ref="E21:E22"/>
    <mergeCell ref="A22:D22"/>
    <mergeCell ref="A33:D33"/>
    <mergeCell ref="A23:D23"/>
    <mergeCell ref="A24:D24"/>
    <mergeCell ref="A25:D25"/>
    <mergeCell ref="A26:D26"/>
    <mergeCell ref="A27:D27"/>
    <mergeCell ref="A39:B39"/>
    <mergeCell ref="A42:B42"/>
    <mergeCell ref="A34:D34"/>
    <mergeCell ref="E34:E35"/>
    <mergeCell ref="A35:D35"/>
    <mergeCell ref="A28:D28"/>
    <mergeCell ref="A29:D29"/>
    <mergeCell ref="A30:D30"/>
    <mergeCell ref="A31:D31"/>
    <mergeCell ref="A32:D32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2022-03-22T03:07:34Z</cp:lastPrinted>
  <dcterms:created xsi:type="dcterms:W3CDTF">2015-02-18T07:56:15Z</dcterms:created>
  <dcterms:modified xsi:type="dcterms:W3CDTF">2022-03-23T03:49:06Z</dcterms:modified>
  <cp:category/>
  <cp:version/>
  <cp:contentType/>
  <cp:contentStatus/>
</cp:coreProperties>
</file>